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 filterPrivacy="1"/>
  <bookViews>
    <workbookView xWindow="0" yWindow="0" windowWidth="22260" windowHeight="11892" activeTab="8"/>
  </bookViews>
  <sheets>
    <sheet name="Baktakék" sheetId="5" r:id="rId1"/>
    <sheet name="Abaújdevecser" sheetId="8" r:id="rId2"/>
    <sheet name="Encs" sheetId="13" r:id="rId3"/>
    <sheet name="Fancsal" sheetId="6" r:id="rId4"/>
    <sheet name="Forró" sheetId="7" r:id="rId5"/>
    <sheet name="Gibárt" sheetId="3" r:id="rId6"/>
    <sheet name="Méra" sheetId="10" r:id="rId7"/>
    <sheet name="Szalaszend" sheetId="11" r:id="rId8"/>
    <sheet name="Nyomásfokozó számítások" sheetId="4" r:id="rId9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4" l="1"/>
  <c r="I16" i="7" l="1"/>
  <c r="J16" i="7"/>
  <c r="K16" i="7" s="1"/>
  <c r="N16" i="7" s="1"/>
  <c r="I26" i="7"/>
  <c r="J25" i="7"/>
  <c r="K25" i="7" s="1"/>
  <c r="N25" i="7" s="1"/>
  <c r="I25" i="7"/>
  <c r="I24" i="7"/>
  <c r="J24" i="7" s="1"/>
  <c r="K24" i="7" s="1"/>
  <c r="N24" i="7" s="1"/>
  <c r="I19" i="7"/>
  <c r="J19" i="7" s="1"/>
  <c r="K19" i="7" s="1"/>
  <c r="N19" i="7" s="1"/>
  <c r="J18" i="7"/>
  <c r="K18" i="7" s="1"/>
  <c r="N18" i="7" s="1"/>
  <c r="I18" i="7"/>
  <c r="I17" i="7"/>
  <c r="J17" i="7" s="1"/>
  <c r="K17" i="7" s="1"/>
  <c r="N17" i="7" s="1"/>
  <c r="J14" i="7"/>
  <c r="I14" i="7"/>
  <c r="K14" i="7"/>
  <c r="N14" i="7" s="1"/>
  <c r="J13" i="7"/>
  <c r="I13" i="7"/>
  <c r="K13" i="7"/>
  <c r="N13" i="7" s="1"/>
  <c r="I12" i="7"/>
  <c r="J12" i="7" s="1"/>
  <c r="K12" i="7" s="1"/>
  <c r="N12" i="7" s="1"/>
  <c r="I10" i="7"/>
  <c r="I9" i="7"/>
  <c r="J9" i="7" s="1"/>
  <c r="K9" i="7" s="1"/>
  <c r="N9" i="7" s="1"/>
  <c r="J6" i="7"/>
  <c r="I6" i="7"/>
  <c r="K6" i="7" s="1"/>
  <c r="N6" i="7" s="1"/>
  <c r="I5" i="7"/>
  <c r="J5" i="7" s="1"/>
  <c r="K5" i="7" s="1"/>
  <c r="N5" i="7" s="1"/>
  <c r="I4" i="7"/>
  <c r="J4" i="7" s="1"/>
  <c r="K4" i="7" s="1"/>
  <c r="N4" i="7" s="1"/>
  <c r="J26" i="7"/>
  <c r="K26" i="7" s="1"/>
  <c r="N26" i="7" s="1"/>
  <c r="J23" i="7"/>
  <c r="J22" i="7"/>
  <c r="K22" i="7" s="1"/>
  <c r="N22" i="7" s="1"/>
  <c r="J21" i="7"/>
  <c r="J20" i="7"/>
  <c r="K20" i="7" s="1"/>
  <c r="N20" i="7" s="1"/>
  <c r="J15" i="7"/>
  <c r="K15" i="7" s="1"/>
  <c r="N15" i="7" s="1"/>
  <c r="J11" i="7"/>
  <c r="K11" i="7" s="1"/>
  <c r="N11" i="7" s="1"/>
  <c r="J10" i="7"/>
  <c r="K10" i="7" s="1"/>
  <c r="N10" i="7" s="1"/>
  <c r="J8" i="7"/>
  <c r="K8" i="7" s="1"/>
  <c r="N8" i="7" s="1"/>
  <c r="J7" i="7"/>
  <c r="K7" i="7" s="1"/>
  <c r="N7" i="7" s="1"/>
  <c r="J3" i="7"/>
  <c r="K3" i="7" s="1"/>
  <c r="N3" i="7" s="1"/>
  <c r="I3" i="7"/>
  <c r="K21" i="7"/>
  <c r="N21" i="7" s="1"/>
  <c r="K23" i="7"/>
  <c r="N23" i="7" s="1"/>
  <c r="J2" i="7"/>
  <c r="I2" i="7"/>
  <c r="J60" i="13"/>
  <c r="K60" i="13" s="1"/>
  <c r="N60" i="13" s="1"/>
  <c r="I60" i="13"/>
  <c r="I56" i="13" s="1"/>
  <c r="J61" i="13"/>
  <c r="K61" i="13" s="1"/>
  <c r="N61" i="13" s="1"/>
  <c r="J58" i="13"/>
  <c r="K58" i="13" s="1"/>
  <c r="N58" i="13" s="1"/>
  <c r="I58" i="13"/>
  <c r="J59" i="13"/>
  <c r="K59" i="13" s="1"/>
  <c r="N59" i="13" s="1"/>
  <c r="I59" i="13"/>
  <c r="I57" i="13"/>
  <c r="J57" i="13" s="1"/>
  <c r="I55" i="13"/>
  <c r="J55" i="13" s="1"/>
  <c r="K55" i="13" s="1"/>
  <c r="I54" i="13"/>
  <c r="J54" i="13" s="1"/>
  <c r="K54" i="13" s="1"/>
  <c r="N54" i="13" s="1"/>
  <c r="I53" i="13"/>
  <c r="J53" i="13"/>
  <c r="K53" i="13"/>
  <c r="N53" i="13" s="1"/>
  <c r="I52" i="13"/>
  <c r="J51" i="13"/>
  <c r="K51" i="13" s="1"/>
  <c r="N51" i="13" s="1"/>
  <c r="I51" i="13"/>
  <c r="J52" i="13"/>
  <c r="K52" i="13" s="1"/>
  <c r="N52" i="13" s="1"/>
  <c r="J50" i="13"/>
  <c r="K50" i="13" s="1"/>
  <c r="N50" i="13" s="1"/>
  <c r="I50" i="13"/>
  <c r="I48" i="13"/>
  <c r="J48" i="13" s="1"/>
  <c r="K48" i="13" s="1"/>
  <c r="N48" i="13" s="1"/>
  <c r="J47" i="13"/>
  <c r="K47" i="13"/>
  <c r="N47" i="13" s="1"/>
  <c r="I47" i="13"/>
  <c r="I46" i="13"/>
  <c r="J46" i="13" s="1"/>
  <c r="J56" i="13" l="1"/>
  <c r="K57" i="13"/>
  <c r="K56" i="13" s="1"/>
  <c r="I49" i="13"/>
  <c r="N49" i="13"/>
  <c r="N57" i="13"/>
  <c r="N56" i="13" s="1"/>
  <c r="N55" i="13"/>
  <c r="K49" i="13"/>
  <c r="J49" i="13"/>
  <c r="K46" i="13"/>
  <c r="J45" i="13"/>
  <c r="I45" i="13"/>
  <c r="J37" i="13"/>
  <c r="I37" i="13"/>
  <c r="J43" i="13"/>
  <c r="K43" i="13"/>
  <c r="N43" i="13" s="1"/>
  <c r="J44" i="13"/>
  <c r="K44" i="13" s="1"/>
  <c r="N44" i="13" s="1"/>
  <c r="I43" i="13"/>
  <c r="I44" i="13"/>
  <c r="K42" i="13"/>
  <c r="N42" i="13" s="1"/>
  <c r="J42" i="13"/>
  <c r="I42" i="13"/>
  <c r="J41" i="13"/>
  <c r="K41" i="13" s="1"/>
  <c r="N41" i="13" s="1"/>
  <c r="J40" i="13"/>
  <c r="K40" i="13" s="1"/>
  <c r="N40" i="13" s="1"/>
  <c r="I40" i="13"/>
  <c r="J39" i="13"/>
  <c r="K39" i="13" s="1"/>
  <c r="N39" i="13" s="1"/>
  <c r="J38" i="13"/>
  <c r="K38" i="13" s="1"/>
  <c r="N38" i="13" s="1"/>
  <c r="N37" i="13" s="1"/>
  <c r="I38" i="13"/>
  <c r="I24" i="13"/>
  <c r="J35" i="13"/>
  <c r="K35" i="13" s="1"/>
  <c r="N35" i="13" s="1"/>
  <c r="I36" i="13"/>
  <c r="J36" i="13" s="1"/>
  <c r="K36" i="13" s="1"/>
  <c r="N36" i="13" s="1"/>
  <c r="I35" i="13"/>
  <c r="I34" i="13"/>
  <c r="I33" i="13"/>
  <c r="J33" i="13" s="1"/>
  <c r="K33" i="13" s="1"/>
  <c r="N33" i="13" s="1"/>
  <c r="J34" i="13"/>
  <c r="K34" i="13" s="1"/>
  <c r="N34" i="13" s="1"/>
  <c r="I32" i="13"/>
  <c r="J32" i="13" s="1"/>
  <c r="K32" i="13" s="1"/>
  <c r="N32" i="13" s="1"/>
  <c r="J31" i="13"/>
  <c r="K31" i="13" s="1"/>
  <c r="N31" i="13" s="1"/>
  <c r="J30" i="13"/>
  <c r="K30" i="13" s="1"/>
  <c r="N30" i="13" s="1"/>
  <c r="J29" i="13"/>
  <c r="K29" i="13" s="1"/>
  <c r="N29" i="13" s="1"/>
  <c r="I29" i="13"/>
  <c r="J27" i="13"/>
  <c r="K27" i="13"/>
  <c r="N27" i="13" s="1"/>
  <c r="J28" i="13"/>
  <c r="K28" i="13" s="1"/>
  <c r="N28" i="13" s="1"/>
  <c r="J26" i="13"/>
  <c r="K26" i="13" s="1"/>
  <c r="J25" i="13"/>
  <c r="K25" i="13" s="1"/>
  <c r="N25" i="13" s="1"/>
  <c r="I25" i="13"/>
  <c r="J23" i="13"/>
  <c r="I23" i="13"/>
  <c r="I22" i="13"/>
  <c r="J22" i="13" s="1"/>
  <c r="K22" i="13" s="1"/>
  <c r="N22" i="13" s="1"/>
  <c r="I20" i="13"/>
  <c r="I21" i="13"/>
  <c r="J21" i="13" s="1"/>
  <c r="K21" i="13" s="1"/>
  <c r="N21" i="13" s="1"/>
  <c r="I17" i="13"/>
  <c r="I16" i="13"/>
  <c r="J16" i="13" s="1"/>
  <c r="I15" i="13"/>
  <c r="J15" i="13" s="1"/>
  <c r="I14" i="13"/>
  <c r="J14" i="13" s="1"/>
  <c r="I12" i="13"/>
  <c r="J12" i="13" s="1"/>
  <c r="I11" i="13"/>
  <c r="J11" i="13" s="1"/>
  <c r="I10" i="13"/>
  <c r="J10" i="13" s="1"/>
  <c r="I9" i="13"/>
  <c r="J9" i="13" s="1"/>
  <c r="J17" i="13"/>
  <c r="J18" i="13"/>
  <c r="K18" i="13" s="1"/>
  <c r="N18" i="13" s="1"/>
  <c r="I8" i="13"/>
  <c r="J8" i="13" s="1"/>
  <c r="K37" i="13" l="1"/>
  <c r="N46" i="13"/>
  <c r="N45" i="13" s="1"/>
  <c r="K45" i="13"/>
  <c r="N26" i="13"/>
  <c r="N24" i="13" s="1"/>
  <c r="K24" i="13"/>
  <c r="J13" i="13"/>
  <c r="J24" i="13"/>
  <c r="I19" i="13"/>
  <c r="K23" i="13"/>
  <c r="N23" i="13" s="1"/>
  <c r="J20" i="13"/>
  <c r="I13" i="13"/>
  <c r="I7" i="13"/>
  <c r="N20" i="11"/>
  <c r="I16" i="10"/>
  <c r="I3" i="10"/>
  <c r="I2" i="10"/>
  <c r="J3" i="10"/>
  <c r="K3" i="10" s="1"/>
  <c r="N3" i="10" s="1"/>
  <c r="K20" i="13" l="1"/>
  <c r="J19" i="13"/>
  <c r="J6" i="13"/>
  <c r="K6" i="13" s="1"/>
  <c r="N6" i="13" s="1"/>
  <c r="I6" i="13"/>
  <c r="I5" i="13"/>
  <c r="I4" i="13"/>
  <c r="J4" i="13" s="1"/>
  <c r="K4" i="13" s="1"/>
  <c r="N4" i="13" s="1"/>
  <c r="J5" i="13"/>
  <c r="K5" i="13" s="1"/>
  <c r="N5" i="13" s="1"/>
  <c r="K8" i="13"/>
  <c r="N8" i="13" s="1"/>
  <c r="K9" i="13"/>
  <c r="N9" i="13" s="1"/>
  <c r="K10" i="13"/>
  <c r="N10" i="13" s="1"/>
  <c r="K11" i="13"/>
  <c r="N11" i="13" s="1"/>
  <c r="K12" i="13"/>
  <c r="N12" i="13" s="1"/>
  <c r="K14" i="13"/>
  <c r="K15" i="13"/>
  <c r="N15" i="13" s="1"/>
  <c r="K16" i="13"/>
  <c r="N16" i="13" s="1"/>
  <c r="K17" i="13"/>
  <c r="N17" i="13" s="1"/>
  <c r="I4" i="5"/>
  <c r="N20" i="13" l="1"/>
  <c r="N19" i="13" s="1"/>
  <c r="K19" i="13"/>
  <c r="N14" i="13"/>
  <c r="N13" i="13" s="1"/>
  <c r="K13" i="13"/>
  <c r="J13" i="10"/>
  <c r="J12" i="10"/>
  <c r="I13" i="10"/>
  <c r="K13" i="10"/>
  <c r="N13" i="10" s="1"/>
  <c r="I3" i="11"/>
  <c r="J3" i="11" s="1"/>
  <c r="K3" i="11" s="1"/>
  <c r="N3" i="11" s="1"/>
  <c r="J3" i="3" l="1"/>
  <c r="K3" i="3" s="1"/>
  <c r="N3" i="3" s="1"/>
  <c r="J3" i="6"/>
  <c r="K3" i="6" s="1"/>
  <c r="N3" i="6" s="1"/>
  <c r="J3" i="5"/>
  <c r="K3" i="5"/>
  <c r="N3" i="5" s="1"/>
  <c r="J4" i="5"/>
  <c r="K4" i="5" s="1"/>
  <c r="N4" i="5" s="1"/>
  <c r="I6" i="8" l="1"/>
  <c r="J6" i="8" s="1"/>
  <c r="K6" i="8" s="1"/>
  <c r="N6" i="8" s="1"/>
  <c r="I5" i="8"/>
  <c r="J5" i="8" s="1"/>
  <c r="K5" i="8" s="1"/>
  <c r="N5" i="8" s="1"/>
  <c r="I4" i="8"/>
  <c r="J4" i="8" s="1"/>
  <c r="K4" i="8" s="1"/>
  <c r="N4" i="8" s="1"/>
  <c r="I3" i="8"/>
  <c r="J7" i="8"/>
  <c r="K7" i="8"/>
  <c r="N7" i="8" s="1"/>
  <c r="I3" i="13" l="1"/>
  <c r="I2" i="13"/>
  <c r="J2" i="13" s="1"/>
  <c r="K2" i="13" s="1"/>
  <c r="N2" i="13" s="1"/>
  <c r="J3" i="8"/>
  <c r="K3" i="8" s="1"/>
  <c r="N3" i="8" s="1"/>
  <c r="J2" i="8"/>
  <c r="I2" i="8"/>
  <c r="I19" i="10"/>
  <c r="I18" i="10"/>
  <c r="I17" i="10"/>
  <c r="J17" i="10" s="1"/>
  <c r="K17" i="10" s="1"/>
  <c r="N17" i="10" s="1"/>
  <c r="J23" i="10"/>
  <c r="K23" i="10" s="1"/>
  <c r="N23" i="10" s="1"/>
  <c r="I22" i="10"/>
  <c r="J15" i="10"/>
  <c r="K15" i="10"/>
  <c r="N15" i="10" s="1"/>
  <c r="J16" i="10"/>
  <c r="K16" i="10" s="1"/>
  <c r="N16" i="10" s="1"/>
  <c r="J18" i="10"/>
  <c r="K18" i="10" s="1"/>
  <c r="N18" i="10" s="1"/>
  <c r="J19" i="10"/>
  <c r="K19" i="10" s="1"/>
  <c r="N19" i="10" s="1"/>
  <c r="J20" i="10"/>
  <c r="K20" i="10"/>
  <c r="N20" i="10" s="1"/>
  <c r="J21" i="10"/>
  <c r="K21" i="10"/>
  <c r="N21" i="10" s="1"/>
  <c r="J22" i="10"/>
  <c r="K22" i="10"/>
  <c r="N22" i="10" s="1"/>
  <c r="J24" i="10"/>
  <c r="K24" i="10" s="1"/>
  <c r="N24" i="10" s="1"/>
  <c r="N14" i="10"/>
  <c r="J14" i="10"/>
  <c r="K14" i="10"/>
  <c r="I15" i="10"/>
  <c r="I14" i="10"/>
  <c r="I11" i="10"/>
  <c r="J11" i="10" s="1"/>
  <c r="K11" i="10" s="1"/>
  <c r="N11" i="10" s="1"/>
  <c r="I10" i="10"/>
  <c r="J10" i="10"/>
  <c r="K10" i="10" s="1"/>
  <c r="N10" i="10" s="1"/>
  <c r="I9" i="10"/>
  <c r="J9" i="10" s="1"/>
  <c r="K9" i="10" s="1"/>
  <c r="N9" i="10" s="1"/>
  <c r="I8" i="10"/>
  <c r="J8" i="10" s="1"/>
  <c r="K8" i="10" s="1"/>
  <c r="N8" i="10" s="1"/>
  <c r="I4" i="10"/>
  <c r="I5" i="10"/>
  <c r="J5" i="10" s="1"/>
  <c r="K5" i="10" s="1"/>
  <c r="N5" i="10" s="1"/>
  <c r="J4" i="10"/>
  <c r="K4" i="10" s="1"/>
  <c r="N4" i="10" s="1"/>
  <c r="J6" i="10"/>
  <c r="K6" i="10" s="1"/>
  <c r="N6" i="10" s="1"/>
  <c r="J7" i="10"/>
  <c r="K7" i="10" s="1"/>
  <c r="N7" i="10" s="1"/>
  <c r="J2" i="10"/>
  <c r="K2" i="10" s="1"/>
  <c r="N2" i="10" s="1"/>
  <c r="J3" i="13" l="1"/>
  <c r="K3" i="13" s="1"/>
  <c r="N3" i="13" s="1"/>
  <c r="J8" i="6"/>
  <c r="K8" i="6" s="1"/>
  <c r="N8" i="6" s="1"/>
  <c r="J9" i="6"/>
  <c r="K9" i="6"/>
  <c r="N9" i="6" s="1"/>
  <c r="J10" i="6"/>
  <c r="K10" i="6" s="1"/>
  <c r="N10" i="6" s="1"/>
  <c r="J11" i="6"/>
  <c r="K11" i="6" s="1"/>
  <c r="N11" i="6" s="1"/>
  <c r="J12" i="6"/>
  <c r="K12" i="6" s="1"/>
  <c r="N12" i="6" s="1"/>
  <c r="J13" i="6"/>
  <c r="K13" i="6" s="1"/>
  <c r="N13" i="6" s="1"/>
  <c r="J14" i="6"/>
  <c r="K14" i="6" s="1"/>
  <c r="N14" i="6" s="1"/>
  <c r="N7" i="6"/>
  <c r="K7" i="6"/>
  <c r="J7" i="6"/>
  <c r="J6" i="6"/>
  <c r="K6" i="6" s="1"/>
  <c r="N6" i="6" s="1"/>
  <c r="J4" i="6"/>
  <c r="K4" i="6" s="1"/>
  <c r="N4" i="6" s="1"/>
  <c r="J5" i="6"/>
  <c r="K5" i="6"/>
  <c r="N5" i="6"/>
  <c r="I5" i="6"/>
  <c r="I16" i="11"/>
  <c r="J16" i="11" s="1"/>
  <c r="K16" i="11" s="1"/>
  <c r="N16" i="11" s="1"/>
  <c r="N17" i="11"/>
  <c r="J6" i="11"/>
  <c r="K6" i="11" s="1"/>
  <c r="N6" i="11" s="1"/>
  <c r="J7" i="11"/>
  <c r="K7" i="11" s="1"/>
  <c r="N7" i="11" s="1"/>
  <c r="J8" i="11"/>
  <c r="K8" i="11"/>
  <c r="N8" i="11" s="1"/>
  <c r="J9" i="11"/>
  <c r="K9" i="11" s="1"/>
  <c r="N9" i="11" s="1"/>
  <c r="J10" i="11"/>
  <c r="K10" i="11" s="1"/>
  <c r="N10" i="11" s="1"/>
  <c r="J11" i="11"/>
  <c r="K11" i="11" s="1"/>
  <c r="N11" i="11" s="1"/>
  <c r="J12" i="11"/>
  <c r="K12" i="11" s="1"/>
  <c r="N12" i="11" s="1"/>
  <c r="J13" i="11"/>
  <c r="K13" i="11" s="1"/>
  <c r="N13" i="11" s="1"/>
  <c r="J14" i="11"/>
  <c r="K14" i="11" s="1"/>
  <c r="N14" i="11" s="1"/>
  <c r="J15" i="11"/>
  <c r="K15" i="11"/>
  <c r="N15" i="11" s="1"/>
  <c r="J17" i="11"/>
  <c r="K17" i="11"/>
  <c r="J18" i="11"/>
  <c r="K18" i="11" s="1"/>
  <c r="N18" i="11" s="1"/>
  <c r="J19" i="11"/>
  <c r="K19" i="11" s="1"/>
  <c r="N19" i="11" s="1"/>
  <c r="J20" i="11"/>
  <c r="K20" i="11" s="1"/>
  <c r="J21" i="11"/>
  <c r="K21" i="11" s="1"/>
  <c r="N21" i="11" s="1"/>
  <c r="J22" i="11"/>
  <c r="K22" i="11" s="1"/>
  <c r="N22" i="11" s="1"/>
  <c r="J5" i="11"/>
  <c r="K5" i="11" s="1"/>
  <c r="N5" i="11" s="1"/>
  <c r="J4" i="11"/>
  <c r="K4" i="11" s="1"/>
  <c r="N4" i="11" s="1"/>
  <c r="I20" i="5" l="1"/>
  <c r="J20" i="5" s="1"/>
  <c r="K20" i="5" s="1"/>
  <c r="N20" i="5" s="1"/>
  <c r="I18" i="5"/>
  <c r="I17" i="5"/>
  <c r="J17" i="5" s="1"/>
  <c r="K17" i="5" s="1"/>
  <c r="N17" i="5" s="1"/>
  <c r="I15" i="5"/>
  <c r="I14" i="5"/>
  <c r="J14" i="5" s="1"/>
  <c r="K14" i="5" s="1"/>
  <c r="N14" i="5" s="1"/>
  <c r="I13" i="5"/>
  <c r="J13" i="5" s="1"/>
  <c r="K13" i="5" s="1"/>
  <c r="N13" i="5" s="1"/>
  <c r="I12" i="5"/>
  <c r="I11" i="5"/>
  <c r="J11" i="5" s="1"/>
  <c r="K11" i="5" s="1"/>
  <c r="N11" i="5" s="1"/>
  <c r="I10" i="5"/>
  <c r="J10" i="5" s="1"/>
  <c r="K10" i="5" s="1"/>
  <c r="N10" i="5" s="1"/>
  <c r="I9" i="5"/>
  <c r="J9" i="5" s="1"/>
  <c r="K9" i="5" s="1"/>
  <c r="N9" i="5" s="1"/>
  <c r="J12" i="5"/>
  <c r="K12" i="5" s="1"/>
  <c r="N12" i="5" s="1"/>
  <c r="J15" i="5"/>
  <c r="K15" i="5" s="1"/>
  <c r="N15" i="5" s="1"/>
  <c r="J16" i="5"/>
  <c r="K16" i="5" s="1"/>
  <c r="N16" i="5" s="1"/>
  <c r="J18" i="5"/>
  <c r="K18" i="5" s="1"/>
  <c r="N18" i="5" s="1"/>
  <c r="J19" i="5"/>
  <c r="K19" i="5" s="1"/>
  <c r="N19" i="5" s="1"/>
  <c r="I8" i="5"/>
  <c r="J8" i="5" s="1"/>
  <c r="K8" i="5" s="1"/>
  <c r="N8" i="5" s="1"/>
  <c r="I7" i="5"/>
  <c r="J7" i="5"/>
  <c r="K7" i="5" s="1"/>
  <c r="N7" i="5" s="1"/>
  <c r="I5" i="5"/>
  <c r="J5" i="5" s="1"/>
  <c r="K5" i="5" s="1"/>
  <c r="N5" i="5" s="1"/>
  <c r="I6" i="5"/>
  <c r="J6" i="5" s="1"/>
  <c r="K6" i="5" s="1"/>
  <c r="N6" i="5" s="1"/>
  <c r="J2" i="11" l="1"/>
  <c r="K2" i="11" s="1"/>
  <c r="N2" i="11" s="1"/>
  <c r="K12" i="10"/>
  <c r="N12" i="10" s="1"/>
  <c r="K2" i="8"/>
  <c r="N2" i="8" s="1"/>
  <c r="K2" i="7"/>
  <c r="N2" i="7" s="1"/>
  <c r="J2" i="6"/>
  <c r="K2" i="6" s="1"/>
  <c r="N2" i="6" s="1"/>
  <c r="J2" i="5" l="1"/>
  <c r="K2" i="5" s="1"/>
  <c r="N2" i="5" s="1"/>
  <c r="I11" i="3"/>
  <c r="I9" i="3"/>
  <c r="I8" i="3"/>
  <c r="J4" i="3" l="1"/>
  <c r="K4" i="3"/>
  <c r="N4" i="3" s="1"/>
  <c r="I4" i="3"/>
  <c r="J2" i="3"/>
  <c r="J5" i="3"/>
  <c r="I10" i="3"/>
  <c r="J10" i="3" s="1"/>
  <c r="K10" i="3" s="1"/>
  <c r="N10" i="3" s="1"/>
  <c r="J6" i="3"/>
  <c r="K6" i="3"/>
  <c r="N6" i="3" s="1"/>
  <c r="J7" i="3"/>
  <c r="K7" i="3" s="1"/>
  <c r="N7" i="3" s="1"/>
  <c r="J8" i="3"/>
  <c r="K8" i="3" s="1"/>
  <c r="N8" i="3" s="1"/>
  <c r="J9" i="3"/>
  <c r="K9" i="3" s="1"/>
  <c r="N9" i="3" s="1"/>
  <c r="J11" i="3"/>
  <c r="K11" i="3" s="1"/>
  <c r="N11" i="3" s="1"/>
  <c r="J12" i="3"/>
  <c r="K12" i="3"/>
  <c r="N12" i="3" s="1"/>
  <c r="J13" i="3"/>
  <c r="K13" i="3"/>
  <c r="N13" i="3" s="1"/>
  <c r="I7" i="3"/>
  <c r="I6" i="3"/>
  <c r="I12" i="3"/>
  <c r="K5" i="3"/>
  <c r="N5" i="3" s="1"/>
  <c r="I5" i="3"/>
  <c r="G4" i="4"/>
  <c r="H2" i="4"/>
  <c r="H3" i="4"/>
  <c r="H4" i="4"/>
  <c r="H5" i="4"/>
  <c r="H6" i="4"/>
  <c r="K2" i="3" l="1"/>
  <c r="N2" i="3" s="1"/>
</calcChain>
</file>

<file path=xl/sharedStrings.xml><?xml version="1.0" encoding="utf-8"?>
<sst xmlns="http://schemas.openxmlformats.org/spreadsheetml/2006/main" count="1184" uniqueCount="668">
  <si>
    <t>Sorszám</t>
  </si>
  <si>
    <t>Ütem neve</t>
  </si>
  <si>
    <t>Betáp</t>
  </si>
  <si>
    <t>Zárások</t>
  </si>
  <si>
    <t>Opcionális</t>
  </si>
  <si>
    <t>Öblítési hely</t>
  </si>
  <si>
    <t>Megjegyzés</t>
  </si>
  <si>
    <t>Kapcsolódó ütemek</t>
  </si>
  <si>
    <t>Cső</t>
  </si>
  <si>
    <t>Öblítendő csőtérfogat [m3]</t>
  </si>
  <si>
    <t>Becsült öblítési vízmennyiség [m3]</t>
  </si>
  <si>
    <t>2.</t>
  </si>
  <si>
    <t>3.</t>
  </si>
  <si>
    <t>5.</t>
  </si>
  <si>
    <t>8.</t>
  </si>
  <si>
    <t>9.</t>
  </si>
  <si>
    <t>Csőhossz</t>
  </si>
  <si>
    <t>Flow (LPS)</t>
  </si>
  <si>
    <t>Becsült öblítési idő [perc]</t>
  </si>
  <si>
    <t>KM-PVC 100</t>
  </si>
  <si>
    <t>6.a.</t>
  </si>
  <si>
    <t>6.b.</t>
  </si>
  <si>
    <t>1.</t>
  </si>
  <si>
    <t>4.</t>
  </si>
  <si>
    <t>Sebesség [m/s]</t>
  </si>
  <si>
    <t>Encs-Gibárt távvezeték</t>
  </si>
  <si>
    <t>KM-PVC 150</t>
  </si>
  <si>
    <t>Encs Rákóczi út (végtűzcsaptól)</t>
  </si>
  <si>
    <t>Jelleggörbe száma</t>
  </si>
  <si>
    <t>Hely</t>
  </si>
  <si>
    <t>H [m]</t>
  </si>
  <si>
    <t>Q [m3/h]</t>
  </si>
  <si>
    <t>Q [l/s]</t>
  </si>
  <si>
    <t>db</t>
  </si>
  <si>
    <t>Encs</t>
  </si>
  <si>
    <t>Típus</t>
  </si>
  <si>
    <t>Grundfos CR60-60</t>
  </si>
  <si>
    <t>p [kW]</t>
  </si>
  <si>
    <t>Grundfos CR64-4-2</t>
  </si>
  <si>
    <t>Fancsal</t>
  </si>
  <si>
    <t>Grundfos HYDRO Modul 3 CR10-05 DRY</t>
  </si>
  <si>
    <t>Forró</t>
  </si>
  <si>
    <t>Méra</t>
  </si>
  <si>
    <t>Grundfos HYDRO Modul 3 CR15-05 DRY</t>
  </si>
  <si>
    <t>Grundfos HYDRO Modul 3 CR15-07 DRY</t>
  </si>
  <si>
    <t>Meder alatti átvezetés párhuzamos csöve</t>
  </si>
  <si>
    <t>Dózsa út - Szabadság út kereszteződés tűzcsapja</t>
  </si>
  <si>
    <t>Táncsics úti és Petőfi úti leágazó tz, meder alatti átvezetés egyik párhuzamos vezetéke, Dózsa Gy -&gt; Szabadság u. tz, Dózsa Gy - Széchenyi sarok mindkét tz</t>
  </si>
  <si>
    <t>meder alatti átvezetés másik párhuzamos vezetéke, Dózsa Gy -&gt; Szabadság u. tz, Dózsa Gy - Széchenyi sarok mindkét tz</t>
  </si>
  <si>
    <t>Szabadság út 12 előtti tcs</t>
  </si>
  <si>
    <t>Széchenyi út 9 előtti tcs</t>
  </si>
  <si>
    <t>Dózsa út 17 előtti (vég)tcs</t>
  </si>
  <si>
    <t>Hernádhoz közelebbi Dózsa u végtcs</t>
  </si>
  <si>
    <t>Dózsa út</t>
  </si>
  <si>
    <t>Dózsa út-Széchenyi út keresztezés</t>
  </si>
  <si>
    <t>Széchenyi út</t>
  </si>
  <si>
    <t>Szabadság út</t>
  </si>
  <si>
    <t>Széchenyi út; Szabadság út ellenirány</t>
  </si>
  <si>
    <t>Szabadság út; Széchenyi út ellenirány</t>
  </si>
  <si>
    <t>Hernádtól távolabbi Dózsa út végág</t>
  </si>
  <si>
    <t>Hernádhoz közelebbi Dózsa út végág</t>
  </si>
  <si>
    <t>Táncsics Mihály út</t>
  </si>
  <si>
    <t>Petőfi Sándor út</t>
  </si>
  <si>
    <t>Táncsics úti végtcs</t>
  </si>
  <si>
    <t>Petőfi úti végtcs</t>
  </si>
  <si>
    <t>Széchenyi út 53 előtti tcs</t>
  </si>
  <si>
    <t>Kossuth Lajos út</t>
  </si>
  <si>
    <t>Dózsa út - Szabadság út kereszteződés</t>
  </si>
  <si>
    <t>Kossuth utca</t>
  </si>
  <si>
    <t>7.a.</t>
  </si>
  <si>
    <t>7.b.</t>
  </si>
  <si>
    <t>Abaújdevecseri torony töltő, Méra felé vasút menti</t>
  </si>
  <si>
    <t>Szabadság utca É-i tz, Széchenyi utca É-i tz</t>
  </si>
  <si>
    <t>Szabadság utca É-i tz, Széchenyi utca É-i tz, Hernádtól távolabbi Dózsa utcai leágazó tz</t>
  </si>
  <si>
    <t>Széchenyi utca É-i tz,  Hernádtól távolabbi Dózsa utcai leágazó tz</t>
  </si>
  <si>
    <t>Szabadság utca É-i tz,  Hernádtól távolabbi Dózsa utcai leágazó tz</t>
  </si>
  <si>
    <t>Kossuth utca legészakibb tűzcsapja</t>
  </si>
  <si>
    <t>Fancsali nyomásfokozó gépház</t>
  </si>
  <si>
    <t>Medencétől Rákóczi útig</t>
  </si>
  <si>
    <t>Béke út-Rákóczi úti kereszteződéstől É-ra levő tcs</t>
  </si>
  <si>
    <t>Béke út-Rákóczi úti kereszteződésben Béke út és József A út felé</t>
  </si>
  <si>
    <t>József Attila utca</t>
  </si>
  <si>
    <t>Baktakék medence</t>
  </si>
  <si>
    <t>Béke út-Rákóczi úti kereszteződési KM-PVC 150</t>
  </si>
  <si>
    <t>Rákóczi út</t>
  </si>
  <si>
    <t>Rákóczi út 2 előtti tcs</t>
  </si>
  <si>
    <t>Rákóczi út D-i fele</t>
  </si>
  <si>
    <t>Rákóczi út É-i fele</t>
  </si>
  <si>
    <t>Rákóczi út 56 előtti tcs</t>
  </si>
  <si>
    <t>Rákóczi úti KM-PVC 150</t>
  </si>
  <si>
    <t>Béke út-Rákóczi úti kereszteződésben Béke út és Rákóczi út felé, Bem és Jókai úti leágazó tz</t>
  </si>
  <si>
    <t>Béke út-Rákóczi úti kereszteződésben Béke út és József A út felé, Rákóczi úti leágazó tolózárak, Arany J utca és Rákóczi keresztezés összes tolózárja</t>
  </si>
  <si>
    <t>József Attila utcai végtcs</t>
  </si>
  <si>
    <t>KM-PVC 150 és 100</t>
  </si>
  <si>
    <t>Béke utca</t>
  </si>
  <si>
    <t>Petőfi utca</t>
  </si>
  <si>
    <t>Bem u. ellenirány</t>
  </si>
  <si>
    <t>10.</t>
  </si>
  <si>
    <t>Jókai u.</t>
  </si>
  <si>
    <t>11.</t>
  </si>
  <si>
    <t>Rákóczi út NY-i leágazás</t>
  </si>
  <si>
    <t>12.</t>
  </si>
  <si>
    <t>13.</t>
  </si>
  <si>
    <t>14.</t>
  </si>
  <si>
    <t>15.</t>
  </si>
  <si>
    <t>Rákóczi út É-i vége</t>
  </si>
  <si>
    <t>Északabbi Kossuth utca</t>
  </si>
  <si>
    <t>Délebbi Kossuth utca</t>
  </si>
  <si>
    <t>Arany János utca</t>
  </si>
  <si>
    <t>Béke utca végtcs</t>
  </si>
  <si>
    <t>Béke u.</t>
  </si>
  <si>
    <t>József Attila u.</t>
  </si>
  <si>
    <t>Béke út-Rákóczi úti kereszteződésben Béke út és Rákóczi út felé, Bem és Jókai úti leágazó tz, Jókai u- József A u. kereszteződésben József A úti tz</t>
  </si>
  <si>
    <t>Béke út-Rákóczi úti kereszteződésben Rákóczi út és Béke u felé, Jókai-József A út kereszteződésben minden, Dózsa u NY-i vége, Béke u. NY-i leágazás, Petőfi u. K-i tz</t>
  </si>
  <si>
    <t>Béke út-Rákóczi úti kereszteződésben Rákóczi út és József A út felé, Bem-Béke leágazó tz, Dózsa-Béke kereszteződésben K és D-i tz.</t>
  </si>
  <si>
    <t>Petőfi u. K-i tcs</t>
  </si>
  <si>
    <t>Bem utca K-i tcs</t>
  </si>
  <si>
    <t>Jókai u végtcs</t>
  </si>
  <si>
    <t>végtcs</t>
  </si>
  <si>
    <t>Átemelő előtti tcs</t>
  </si>
  <si>
    <t>Béke u. K-i tcs</t>
  </si>
  <si>
    <t>Béke út-Rákóczi úti kereszteződésben Rákóczi út és Béke u felé, Jókai-József A út kereszteződésben minden, Bem-Béke tz, Béke u. NY-i leágazás, Petőfi u. K-i tz</t>
  </si>
  <si>
    <t>Béke út-Rákóczi úti kereszteződésben Rákóczi út és József A út felé, Petőfi u. K-it tz, Bem-Béke leágazó tz, József A-Bem leágazó tz</t>
  </si>
  <si>
    <t>Bem utca NY-i leág végtcs</t>
  </si>
  <si>
    <t>Dózsa u. ellenirány, Bem u NY-i végág</t>
  </si>
  <si>
    <t>Béke út-Rákóczi úti kereszteződésben Rákóczi út és József A út felé, Petőfi u. K-i tz, Béke-Dózsa kereszteződésben mind, József A-Bem leágazó tz</t>
  </si>
  <si>
    <t>József Attila úti KM-PVC 150</t>
  </si>
  <si>
    <t xml:space="preserve">Bem u K, Dózsa u., Béke utca ellenirány </t>
  </si>
  <si>
    <t>Bem u. É, Petőfi utca ellenirány</t>
  </si>
  <si>
    <t>Béke út-Rákóczi úti kereszteződésben Rákóczi út és József A út felé, Petőfi u. K tz, Bem-Béke leágazó tz, Béke-Dózsa kereszteződés D-i tz</t>
  </si>
  <si>
    <t>Mérai nyomásfokozó</t>
  </si>
  <si>
    <t>Béke út NA150</t>
  </si>
  <si>
    <t>Szabadság tér K</t>
  </si>
  <si>
    <t>Szabadság tér D, ellenirányban É</t>
  </si>
  <si>
    <t>Szabadság tér É, ellenirányban D</t>
  </si>
  <si>
    <t>Rákóczi út É-i tűzcsap</t>
  </si>
  <si>
    <t>K-i végtcs</t>
  </si>
  <si>
    <t>D-i tcs</t>
  </si>
  <si>
    <t>É-i ág NY-i tcs</t>
  </si>
  <si>
    <t>Óvoda u. D</t>
  </si>
  <si>
    <t>Óvoda u. D ellenirány</t>
  </si>
  <si>
    <t>József A utca K</t>
  </si>
  <si>
    <t>D-i csőhíd</t>
  </si>
  <si>
    <t>József A utca É</t>
  </si>
  <si>
    <t>Ady Endre u.</t>
  </si>
  <si>
    <t>Jókai út D</t>
  </si>
  <si>
    <t>középső csőhíd</t>
  </si>
  <si>
    <t>Jókai út É</t>
  </si>
  <si>
    <t>alsó csőhíd, József A utca D</t>
  </si>
  <si>
    <t>Jókai u É ellenirány</t>
  </si>
  <si>
    <t>Óvoda u. É, felső csőhíd</t>
  </si>
  <si>
    <t>József A u É ellenirány</t>
  </si>
  <si>
    <t>Béke úti 150ről leágazó tz-k, leszerelt csőhídnál É-ra menő Béke út ág</t>
  </si>
  <si>
    <t>Szalaszendi medence</t>
  </si>
  <si>
    <t>Szabadság téri NA100</t>
  </si>
  <si>
    <t>Jókai út 47 tcs</t>
  </si>
  <si>
    <t>Szabadság tér É leágazó</t>
  </si>
  <si>
    <t>Szabadság tér D leágazó</t>
  </si>
  <si>
    <t xml:space="preserve"> - </t>
  </si>
  <si>
    <t>7.</t>
  </si>
  <si>
    <t>16.</t>
  </si>
  <si>
    <t>17.</t>
  </si>
  <si>
    <t>18.</t>
  </si>
  <si>
    <t>19.</t>
  </si>
  <si>
    <t>20.</t>
  </si>
  <si>
    <t>Középső csőhíd és Jókai u kereszteződésben minden, D-i Jókai u leágazó</t>
  </si>
  <si>
    <t>Középső csőhíd és Jókai u kereszteződésben minden</t>
  </si>
  <si>
    <t>Jókai út É-i csőhíd feletti tcs</t>
  </si>
  <si>
    <t>Béke út</t>
  </si>
  <si>
    <t>Jókai u.-n keresztül a D-i csőhíd</t>
  </si>
  <si>
    <t>Óvoda u. középső csőhíd alatti tcs</t>
  </si>
  <si>
    <t>Béke út a leszerelt csőhídnál, középső csőhíd K-i oldal É-i zár</t>
  </si>
  <si>
    <t>Középső csőhíd</t>
  </si>
  <si>
    <t>É-i csőhíd</t>
  </si>
  <si>
    <t>É-i csőhíd és Jókai u.</t>
  </si>
  <si>
    <t>AP távvezeték ürítő</t>
  </si>
  <si>
    <t>Béke út a leszerelt csőhídnál (délről)</t>
  </si>
  <si>
    <t>Óvoda u. É és felső csőhíd ellenirány</t>
  </si>
  <si>
    <t>Béke út a leszerelt csőhídnál (délről), középső csőhíd</t>
  </si>
  <si>
    <t>Középső csőhíd NY-i oldalán levő tcs</t>
  </si>
  <si>
    <t>Középső csőhíd NY-ról és a K-i oldalán a D-i zár</t>
  </si>
  <si>
    <t>D-i csőhíd és Béke u keresztetés leágazó</t>
  </si>
  <si>
    <t>D-i csőhídon levő tcs</t>
  </si>
  <si>
    <t>Béke és Óvoda u leágazó tolózárai, középső csőhíd K-i vége</t>
  </si>
  <si>
    <t>Forrói gépház</t>
  </si>
  <si>
    <t>D-i Rákóczi út-Fő út kereszteződés mindkét tz</t>
  </si>
  <si>
    <t>Fő út legdélebbi tcs</t>
  </si>
  <si>
    <t>6.</t>
  </si>
  <si>
    <t>Fő utca</t>
  </si>
  <si>
    <t>Medence töltővezeték ellenirány</t>
  </si>
  <si>
    <t>Fancsali medence</t>
  </si>
  <si>
    <t>Szőlőhegyi út</t>
  </si>
  <si>
    <t>Arany János út</t>
  </si>
  <si>
    <t>Rákóczi utca 1. ág</t>
  </si>
  <si>
    <t>Rákóczi utca 2. ág</t>
  </si>
  <si>
    <t>Rákóczi utca 3. ág</t>
  </si>
  <si>
    <t>Rákóczi utca 4. ág</t>
  </si>
  <si>
    <t>Rákóczi utca 5. ág</t>
  </si>
  <si>
    <t>Fő u.</t>
  </si>
  <si>
    <t>1. ág</t>
  </si>
  <si>
    <t>2. ág</t>
  </si>
  <si>
    <t>Arany J. u. kereszteződésbeli tcs</t>
  </si>
  <si>
    <t xml:space="preserve">Forrói gépház </t>
  </si>
  <si>
    <t>228+63</t>
  </si>
  <si>
    <t>Fő u. leágazó tz-k és medencetöltő</t>
  </si>
  <si>
    <t>Medencetöltő vezeték tz (Fő utca felé)</t>
  </si>
  <si>
    <t>Fő u. leágazó tz-k és medencetöltő vezeték tz (Fő utca felé)</t>
  </si>
  <si>
    <t>Átkötés tz, Fő út tz-je (D-i)</t>
  </si>
  <si>
    <t>Rákóczi út tz (D-i), Fő út tz (átkötési)</t>
  </si>
  <si>
    <t>Átkötés és Rákóczi utca 6. ág</t>
  </si>
  <si>
    <t>4. ág</t>
  </si>
  <si>
    <t>Fő utca az átkötésnél és a D-i tz</t>
  </si>
  <si>
    <t>Kézsmárk u. NY-i tcs</t>
  </si>
  <si>
    <t>Encs gépház</t>
  </si>
  <si>
    <t>Encs Béke út-Mérai út kereszteződéstól (Encs gépház)</t>
  </si>
  <si>
    <t>K-i távvezeték Encstől Rákóczi térig</t>
  </si>
  <si>
    <t>Fő u. Rákóczi téri (malom) leágazástól D-re levő tcs</t>
  </si>
  <si>
    <t>Rákóczi tér zsákutca</t>
  </si>
  <si>
    <t>Rákóczi tér malom</t>
  </si>
  <si>
    <t>Fő utca NA150</t>
  </si>
  <si>
    <t>Gépállomás tér D</t>
  </si>
  <si>
    <t>Gépállomás tér É</t>
  </si>
  <si>
    <t>Petőfi u.</t>
  </si>
  <si>
    <t>Petőfi u. ellenirány</t>
  </si>
  <si>
    <t>Petőfi u. É-i végtcs</t>
  </si>
  <si>
    <t>Petőfi u. D-i tcs</t>
  </si>
  <si>
    <t>Fő út érintett részének minden leágazója, Fő út a Rákóczi térnél (malom leágazás É-i tz)</t>
  </si>
  <si>
    <t>Fő út a Rákóczi térnél (malom leágazás É-i tz)</t>
  </si>
  <si>
    <t>Fő út a Rákóczi térnél (malom leágazás É-i tz), Rákóczi téri zsákutca leágazó tz</t>
  </si>
  <si>
    <t>Fő út a Petőfi u. D-i keresztezésnél, Petőfi É-i csp Fő út felé menő tz</t>
  </si>
  <si>
    <t>Petőfi út a D-i keresztezésnél és az É-i végág leágazó tz-je, Fő út az É-i leágazásnál tovább É felé</t>
  </si>
  <si>
    <t>K-i Vasút u-Kézsmárk u. csp összes zárja, Fő u. érintett szakaszának leágazói mind</t>
  </si>
  <si>
    <t>Vasút u. csőhídtól Ny-ra levő feltalaj tcs</t>
  </si>
  <si>
    <t>Nem megy víz a nyomásfokozóra</t>
  </si>
  <si>
    <t>Vasút u. NY-i fele</t>
  </si>
  <si>
    <t>Vasút u. NY-i tcs</t>
  </si>
  <si>
    <t>Vasút u. NA150</t>
  </si>
  <si>
    <t>Érintett szakasz minden leágazója, NY-i Vasút u-Kézsmárk u. kereszteződés összes tz</t>
  </si>
  <si>
    <t>Kézsmárk út NY</t>
  </si>
  <si>
    <t>Kézsmárk út D és K</t>
  </si>
  <si>
    <t>Jókai út NY</t>
  </si>
  <si>
    <t>Május 1, Arany, Ady, Jókai út K</t>
  </si>
  <si>
    <t>Arany K, Vöröshadsereg út</t>
  </si>
  <si>
    <t>Kossuth u.</t>
  </si>
  <si>
    <t>Árpád u.</t>
  </si>
  <si>
    <t>Bercsényi u.</t>
  </si>
  <si>
    <t>Malom u.</t>
  </si>
  <si>
    <t>NY-i távvezeték NA150</t>
  </si>
  <si>
    <t>Jókai u. NY-i végtcs</t>
  </si>
  <si>
    <t>Jókai út K-i tcs</t>
  </si>
  <si>
    <t>21.</t>
  </si>
  <si>
    <t>Bercsényi u. leágazás</t>
  </si>
  <si>
    <t>Vasút u. a csőhídnál és K-i Kézsmárk utca keresztezésnél NY felé, Fő u leágazó Arany J u felé</t>
  </si>
  <si>
    <t>NA200 AC</t>
  </si>
  <si>
    <t>Mérai leágazó, globus</t>
  </si>
  <si>
    <t>Kossuth D-i végtcs</t>
  </si>
  <si>
    <t>Sor szám</t>
  </si>
  <si>
    <t>Encsi vízműgépház – Abaújdevecser Kossuth Lajos utca- 3. sz. főút NA200 ág</t>
  </si>
  <si>
    <t>Abaújdevecser Kossuth Lajos utca a Csoma József utcától az NA150-es ág feltalaj végtűzcsapjáig</t>
  </si>
  <si>
    <t>NA150 AC</t>
  </si>
  <si>
    <t>Kossuth Lajos utca a Csoma József utca sarkon az NA 200 a.c.</t>
  </si>
  <si>
    <t xml:space="preserve"> -</t>
  </si>
  <si>
    <t>Abaújdevecser Fő út a Kossuth Lajos utcától  az NA100-as ág altalaj végtűzcsapjáig</t>
  </si>
  <si>
    <t>NA100 KM-PVC</t>
  </si>
  <si>
    <t>Kossuth Lajos utca a Fő út sarkon NA 150 a.c.</t>
  </si>
  <si>
    <t>200-as a Fék út utáni tcs-ig</t>
  </si>
  <si>
    <t xml:space="preserve">Abaújdevecser Csoma  József utca a Kossuth Lajos utcától a Hársfa utcáig, Hársfa utca az NA100-as ág Keleti altalaj végtűzcsapjáig </t>
  </si>
  <si>
    <t>Abaújdevecser Csoma  József utca a Kossuth Lajos utcától a Hársfa utcáig, Hársfa utca az NA100-as ág Nyugati altalaj végtűzcsapjáig</t>
  </si>
  <si>
    <t xml:space="preserve">Abaújdevecser Rózsadomb út  </t>
  </si>
  <si>
    <t>Kossuth Lajos utcai NA 200 a.c.</t>
  </si>
  <si>
    <t>Hársfa utcai NA 100 KM-PVC.</t>
  </si>
  <si>
    <t>Abaújdevecser Rózsadomb utcai altalaj tűzcsapja</t>
  </si>
  <si>
    <t>Abaújdevecser Hársfa utca az NA100-as ág Nyugati altalaj végtűzcsapja</t>
  </si>
  <si>
    <t>Abaújdevecser Hársfa utca az NA100-as ág Keleti altalaj végtűzcsapja</t>
  </si>
  <si>
    <t>Abaújdevecser Kossuth Lajos utca – NA150 végtűzcsapja</t>
  </si>
  <si>
    <t>Vasút u. K-i Kézsmárk u keresztezésben leágazó, NY-iban főág tz, NY-i távvezeték beérkező tz, Kézsmárk u- Május 1 u összes tz</t>
  </si>
  <si>
    <t>Május 1 u É-i tcs (Jókai keresztezéstől D-re)</t>
  </si>
  <si>
    <t>Jókai út-Május 1 út keresztezés D-i tz, Kézsmárk-Május 1 D-i tz</t>
  </si>
  <si>
    <t>Kossuth u. D-i tz, Jókai u-Május 1 K-i tz, Jókai u K-i tz, Fő utca az Arany J u csőhídnál.</t>
  </si>
  <si>
    <t>Vöröshadsereg út É-i tz, Jókai u-Május 1 K-i tz, Jókai u K-i tz, Fő utca az Arany J u csőhídnál.</t>
  </si>
  <si>
    <t>Azonos az Abaújdevecseri öblítés első ütemével</t>
  </si>
  <si>
    <t>1.1</t>
  </si>
  <si>
    <t>1.2</t>
  </si>
  <si>
    <t>1.3</t>
  </si>
  <si>
    <t>Távvezeték 1. légtelenítőtől</t>
  </si>
  <si>
    <t>2. leágazásnál Fancsal felől</t>
  </si>
  <si>
    <t>1. légtelenítő</t>
  </si>
  <si>
    <t>2. 80as leágazás</t>
  </si>
  <si>
    <t>2. leágazásnál Baktakék felől</t>
  </si>
  <si>
    <t>2. leágazásnál Fancsal felől, Fancsali nyomásfokozó nem üzemel</t>
  </si>
  <si>
    <t xml:space="preserve"> 1.1</t>
  </si>
  <si>
    <t xml:space="preserve"> 1.2</t>
  </si>
  <si>
    <t>80-as leállás a távvezetéken</t>
  </si>
  <si>
    <t>80-as leállástól Fancsal felé</t>
  </si>
  <si>
    <t>Távvezeték KM-PVC 150 ürítőtől</t>
  </si>
  <si>
    <t>Abaújdevecseri torony töltő, Méra felé vasút menti, ürítőtől Gibárt felé</t>
  </si>
  <si>
    <t>Távvezeték ürítőtől Szalaszend felé</t>
  </si>
  <si>
    <t>Távvezeték ürítőtől Méra felé</t>
  </si>
  <si>
    <t>Méra-Szalaszend távvezeték ürítője (80as leállás)</t>
  </si>
  <si>
    <t xml:space="preserve"> 10.1</t>
  </si>
  <si>
    <t xml:space="preserve"> 10.2</t>
  </si>
  <si>
    <t>80-as leállás a NY-i távvezetéken</t>
  </si>
  <si>
    <t>Ürítőtől Méra felé levő tz</t>
  </si>
  <si>
    <t>Váczi Mihály utca a Bútorgyár előtt feltalaj tűzcsap</t>
  </si>
  <si>
    <t>Váci Mihály utca Fék utcától a Déli gerincvezeték ág a Május 1. utcai végtűzcsapig)</t>
  </si>
  <si>
    <t>D225 KPE</t>
  </si>
  <si>
    <t>Váci Mihály út NA200 AC</t>
  </si>
  <si>
    <t>Május 1 út D-i végtcs</t>
  </si>
  <si>
    <t>A főnyomóvezeték belterületi leágazásai és a Mérai út zárása csak visszamosódások elkerüléséhez kell, nyitva hagyható, ha azok tisztítása utánra ütemezik.</t>
  </si>
  <si>
    <t>Táncsics utca glóbusztöltő vezetékről leágazó tolózárja.
Mérai út átadási mérő előtti tolózár
Minden leágazó, kivéve: Kazinczy, Kossuth, Dózsa, Mátyás király út, József Attila telep É-i leágazás. A Váczi Mihály utca Déli végén a szakaszolózár Forró felé.Május 1 út NY-i ága a Téglagyári út kereszteződésnél.</t>
  </si>
  <si>
    <t xml:space="preserve">Táncsics utca glóbusztöltő vezetékről leágazó tolózárja.
Mérai út átadási mérő előtti tolózár
Minden leágazó, kivéve: Kazinczy, Kossuth, Dózsa, Mátyás király út, József Attila telep É-i leágazás. A Váczi Mihály utca Déli végén a szakaszolózár Forró felé.
A Baross utca Déli végén a szakaszolózár Forró felé.
</t>
  </si>
  <si>
    <t>Váci Mihály utca Fék utcától a Forrói Rákóczi utcai végtűzcsapig</t>
  </si>
  <si>
    <t>Encsi Vízmű nyomásfokozó, a Váczi Mihály utca NA200 AC</t>
  </si>
  <si>
    <t>Forró, Rákóczi u É-i végtcs</t>
  </si>
  <si>
    <t>Encs: Táncsics utca glóbusztöltő vezetékről leágazó tolózárja.
Mérai út átadási mérő előtti tolózár
Minden leágazó, kivéve: Kazinczy, Kossuth, Dózsa, Mátyás király út, József Attila telep É-i leágazás. A Baross utca Déli végén a szakaszolózár Forró felé. Forró: Rákóczi úti átkötés MEGNYIT, Rákóczi-Széchenyi kereszteződés NY-i és D-i tz zár, Fő út-Fancsali út Széchenyi úti NA100-ra menő tz zár.</t>
  </si>
  <si>
    <t>Kossuth Lajos utca NA150 635 fm - Mérai út NA150 413 fm - Béke utca NA100 342 fm.</t>
  </si>
  <si>
    <t>NA150 és NA100</t>
  </si>
  <si>
    <t xml:space="preserve">A Táncsics utcai D225 gerincvezeték a Kossuth utcai leágazáson keresztül </t>
  </si>
  <si>
    <t>Béke utcai végág altalaj tűzcsapja. Ha kell, nyitható a Mérai út Kossuth Lajos utca és Béke utca közötti tűzcsapja először, és ennek megtisztulása után a Béke utcai.</t>
  </si>
  <si>
    <t xml:space="preserve">Szeles utca Északi ágán a Kossuth Lajos utcai leágazó tolózár
Mérai út átadási mérő előtti tolózár. Minden leágazó a Táncsics-Bem-Váci vezetékről, kivéve: Kazinczy, Kossuth, Dózsa, Mátyás király út, József Attila telep É-i leágazás. 
</t>
  </si>
  <si>
    <t>Fancsal-Baktakék távvezeték 1. ütem</t>
  </si>
  <si>
    <t>Fancsal-Baktakék távvezeték 2. ütem</t>
  </si>
  <si>
    <t>Fancsal-Baktakék távvezeték 3. ütem</t>
  </si>
  <si>
    <t>Bem u.</t>
  </si>
  <si>
    <t>Forró-Fancsal távvezeték 1. ütem</t>
  </si>
  <si>
    <t>Forró-Fancsal távvezeték 2. ütem</t>
  </si>
  <si>
    <t>Encs-Gibárt távvezeték 1. ütem</t>
  </si>
  <si>
    <t>Encs-Gibárt távvezeték 2. ütem</t>
  </si>
  <si>
    <t>Mérai út NA150</t>
  </si>
  <si>
    <t>Fő út-Petőfi út D-i csomópont mindkét tz</t>
  </si>
  <si>
    <t>K-i távvezeték 1. ütemtől Rákóczi térig</t>
  </si>
  <si>
    <t>Fő utca Rákóczi u-tól északra, Vasút utca a patakig</t>
  </si>
  <si>
    <t>NY-i távvezeték 1. ütem</t>
  </si>
  <si>
    <t>NY-i távvezeték 2. ütem</t>
  </si>
  <si>
    <t>Május 1 - Jókai sarok NA100</t>
  </si>
  <si>
    <t>Ady Endre és Május 1 utcák leágazó zárjai a Jókairól D felé</t>
  </si>
  <si>
    <t>Vöröshadsereg-Jókai sarok NA100</t>
  </si>
  <si>
    <t>Vasút u- NY-i Kézsmárk u leágazó tz, Kézsmárk-Május 1 sarok mindkét tz</t>
  </si>
  <si>
    <t>Abaújdevecseri toronyra menő vezeték NA200 AC</t>
  </si>
  <si>
    <t>Rákóczi tér NA100</t>
  </si>
  <si>
    <t>Méra-Szalaszend távvezeték 1. ütem</t>
  </si>
  <si>
    <t>Méra-Szalaszend távvezeték 2. ütem</t>
  </si>
  <si>
    <t>leszerelt csőhíd vagy az előtte levő tűzcsap</t>
  </si>
  <si>
    <t>Béke utca NA150</t>
  </si>
  <si>
    <t>Rákóczi út É-i tz, Béke úti 150-esen levő tz a leszerelt csőhídnál</t>
  </si>
  <si>
    <t>József A u. É-i része</t>
  </si>
  <si>
    <t>Jókai út D, Ady úti összes zár</t>
  </si>
  <si>
    <t>Óvoda u leágazó tolózárai, É-i csőhíd K-i oldalán a D-i tz</t>
  </si>
  <si>
    <t>Fúlókércsy felé távvezetékig</t>
  </si>
  <si>
    <t>József Attila telep</t>
  </si>
  <si>
    <t>A Bercsényi utca ellenáramú öblítése a Szeles utca felől</t>
  </si>
  <si>
    <t>Bercsényi utca normál vízirányú öblítése, az Arany János utca ellenirányú öblítésével</t>
  </si>
  <si>
    <t>6.c.</t>
  </si>
  <si>
    <t>Arany János utca normál vízirányú öblítése a József Attila telep ellenirányú öblítésével</t>
  </si>
  <si>
    <t xml:space="preserve">József Attila telep Északi ág normál vízirányú öblítése </t>
  </si>
  <si>
    <t>6.d.</t>
  </si>
  <si>
    <t xml:space="preserve">József Attila telep keresztutcáinak öblítése - </t>
  </si>
  <si>
    <t xml:space="preserve"> 7.1</t>
  </si>
  <si>
    <t xml:space="preserve"> 7.2.</t>
  </si>
  <si>
    <t xml:space="preserve"> 7.3.</t>
  </si>
  <si>
    <t xml:space="preserve"> 7.4.</t>
  </si>
  <si>
    <t>Kazinczy utca a Táncsics Mihály utcától a Szent Flórián utcai végtűzcsapig.</t>
  </si>
  <si>
    <t xml:space="preserve">Ady Endre utca a Kazinczy utcától a Petőfi utcai végtűzcsapig. </t>
  </si>
  <si>
    <t>Az áruházak felé vezető végág az Ady Endre utcától az utolsó közterületi tűzcsapig.</t>
  </si>
  <si>
    <t>D110 KPE ág a Kazinczy és az Ady Endre utca között.</t>
  </si>
  <si>
    <t>D110 KPE</t>
  </si>
  <si>
    <t xml:space="preserve">Táncsics utcai D225 gerincvezeték a Kazinczy utcai leágazáson keresztül </t>
  </si>
  <si>
    <t>Tolózár zárása nem szükséges</t>
  </si>
  <si>
    <t>Szent Flórián utcai végtűzcsap</t>
  </si>
  <si>
    <t>Ady Endre utcai végtűzcsap a Petőfi utcánál</t>
  </si>
  <si>
    <t xml:space="preserve">áruházi vezeték utolsó közterületi tűzcsapja </t>
  </si>
  <si>
    <t>az átkötő ág tűzcsapja.</t>
  </si>
  <si>
    <t>előbb a Kazinczy utcai, majd a tűzcsapig vezető szakasz megtisztulása után az Ady Endre utcai leágazó zár zárása, a Kazinczy utcai nyitásával.</t>
  </si>
  <si>
    <t>Petőfi Sándor út a Táncsics utcától a Nyugati végtűzcsapig</t>
  </si>
  <si>
    <t>DN150 AC</t>
  </si>
  <si>
    <t xml:space="preserve">9. </t>
  </si>
  <si>
    <t>Bem József utca- Petőfi Sándor út- Baross Gábor- Gagarin utcák által határolt terület</t>
  </si>
  <si>
    <t>Táncsics Mihály utcai D225 gerincvezeték a Petőfi úti Nyugati leágazáson keresztül</t>
  </si>
  <si>
    <t xml:space="preserve"> 9.1.1</t>
  </si>
  <si>
    <t xml:space="preserve"> 9.1.2</t>
  </si>
  <si>
    <t xml:space="preserve"> 9.2.1</t>
  </si>
  <si>
    <t xml:space="preserve"> 9.2.2</t>
  </si>
  <si>
    <t>Jókai a Bem és a Deák közt ha létezik (mentőállomás udvara) Bemről mosatandó.</t>
  </si>
  <si>
    <t>NA100 AC</t>
  </si>
  <si>
    <t>A Kossuth Lajos utcai NA150 gerincvezeték a Szeles utcai leágazáson keresztül</t>
  </si>
  <si>
    <t xml:space="preserve">Bercsényi utca Táncsics utca felőli első altalaj tűzcsapja. </t>
  </si>
  <si>
    <t xml:space="preserve">Táncsics utca: a Bercsényi utca leágazó zárja, 
Szeles utca Bercsényi utcasarki Északi tolózárja
</t>
  </si>
  <si>
    <t xml:space="preserve">A Táncsics utcai D225 gerincvezeték a Bercsényi utcai leágazáson keresztül </t>
  </si>
  <si>
    <t>Kossuth Lajos utca Szeles utca Északi leágazó tolózárja, 
Arany János utca Táncsics utcai leágazó tolózárja,
Szeles utca, Arany János utca sarki Északi tolózárja</t>
  </si>
  <si>
    <t xml:space="preserve">Arany J utca Táncsics utca felőli első tűzcsapja. </t>
  </si>
  <si>
    <t xml:space="preserve">A Táncsics utcai D225 gerincvezeték az Arany János utcai leágazáson keresztül </t>
  </si>
  <si>
    <t>Szeles utca Arany János utcai Déli leágazó tolózár
Táncsics utca- József Attila utcai leágazó tolózár
Táncsics utca- József Attila telep Északi vezeték leágazó tolózár
József Attila telep Északi vezeték Cserehát, Hernád és Szilbokor utcai leágazó tolózárak</t>
  </si>
  <si>
    <t>Cserehát utcai tűzcsap</t>
  </si>
  <si>
    <t xml:space="preserve">A Táncsics utcai D225 gerincvezeték A József Attila telepi Északi vezeték leágazásán keresztül </t>
  </si>
  <si>
    <t>Szeles utca József Attila utca sarki tolózár
József Attila telep Északi vezeték Táncsics utcai elosztó vezeték, Cserehát, Hernád és Szilbokor utcai leágazó tolózárak</t>
  </si>
  <si>
    <t>Szeles utca Északi tűzcsap</t>
  </si>
  <si>
    <t>6.e</t>
  </si>
  <si>
    <t>József Attila telep Északi vezeték Cserehát utca Keleti szakaszoló zárja.
Első ütemben a József Attila utcai vezeték Cserehát, Hernád és Szilbokor utcai leágazó tolózárai.
Második ütemben a József Attila telep Északi vezeték Cserehát, Hernád és Szilbokor utcai leágazó tolózárak</t>
  </si>
  <si>
    <t xml:space="preserve">Első ütemben a József Attila telep Északi vezetékről való leágazásokon, második ütemben a József Attila utcai leágazásokon keresztül </t>
  </si>
  <si>
    <t>Mindkét ütemben először a Szilbokor, ennek megtisztulása után a Hernád, végül a Cserehát utcai altalaj tűzcsap.</t>
  </si>
  <si>
    <t>Kazinczy utcai végágrendszer</t>
  </si>
  <si>
    <t xml:space="preserve">Petőfi utca Nyugati végág altalaj tűzcsapja. </t>
  </si>
  <si>
    <t xml:space="preserve">A Táncsics utcai D225 gerincvezeték a Petőfi utca Nyugati leágazásán keresztül </t>
  </si>
  <si>
    <t>Petőfi út vasút felé menő végág tűzcsapja</t>
  </si>
  <si>
    <t>Baross Gábor utcai feltalaj tűzcsap a Gagarin utcai leágazástól Északra</t>
  </si>
  <si>
    <t>A Gagarin utcától Északra eső Deák Ferenc utcai és Baross Gábor utcai tolózár zárva marad.
A Petőfi úti NA100 KM-PVC vezeték Deák Ferenc utcai leágazástól a vasút felé (Keletre) eső tolózárja</t>
  </si>
  <si>
    <t>Deák Ferenc utcai altalaj tűzcsap a Gagarin utcai leágazástól Északra</t>
  </si>
  <si>
    <t>NA 80 és 100 AC</t>
  </si>
  <si>
    <t>Petőfi út vasút felé menő  ág</t>
  </si>
  <si>
    <t>Baross Gábor északi része</t>
  </si>
  <si>
    <t>Deák Ferenc utca</t>
  </si>
  <si>
    <t xml:space="preserve">Jókai utca </t>
  </si>
  <si>
    <t>A Gagarin utcától Északra eső Deák Ferenc utcai és Baross Gábor utcai tolózár. Petőfi utcáról Deák utca leágazó tolózár.</t>
  </si>
  <si>
    <t xml:space="preserve">Váci Mihály utca - Gagarin utca Keleti ág – Baross Gábor utca- Ipartelepi út által határolt terület. </t>
  </si>
  <si>
    <t xml:space="preserve"> 10.1.1</t>
  </si>
  <si>
    <t xml:space="preserve"> 10.1.2</t>
  </si>
  <si>
    <t xml:space="preserve"> 10.1.3</t>
  </si>
  <si>
    <t xml:space="preserve"> 10.1.4</t>
  </si>
  <si>
    <t>Bem József utcai D225 gerincvezeték a Gagarin utcai keleti leágazáson keresztül</t>
  </si>
  <si>
    <t>Széchenyi utca a Gagarin utca és a Széchenyi utcai tűzcsap között</t>
  </si>
  <si>
    <t>Gagarin utca a Bem utca és a Baross Gábor utca között, Baross Gábor utca a Gagarin utca és a Kenyérgyári utca között</t>
  </si>
  <si>
    <t>Bajcsy-Zsilinszky utca a Gagarin utca és a Rózsa utca között.</t>
  </si>
  <si>
    <t>Gárdonyi Géza utca a Gagarin utca és a Rózsa utca között.</t>
  </si>
  <si>
    <t>NA 150 AC</t>
  </si>
  <si>
    <t>NA 150 és NA 100 AC</t>
  </si>
  <si>
    <t>Baross Gábor utcai feltalaj tűzcsap a Kenyérgyári utcai leágazástól Északra</t>
  </si>
  <si>
    <t>Bajcsy –Zsilinszky utca Rózsa utca i leágazástól Északra levő altalaj tűzcsapja</t>
  </si>
  <si>
    <t>Gárdonyi Géza utca Rózsa utca i leágazástól Északra levő altalaj tűzcsapja.</t>
  </si>
  <si>
    <t>Széchenyi utcai altalaj tűzcsap.</t>
  </si>
  <si>
    <t>A Gagarin utcától Északra eső Deák Ferenc utcai és Baross Gábor utcai tolózár.
A Rózsa utcától Északra leágazó tolózárak a Bajcsy-Zsilinszky utca, Gárdonyi Géza utca, Széchenyi utcai vezetékekre.
Rózsa utca Baross Gábor utcai szakaszoló NA150 tolózárja 
Baross Gábor utca Kenyérgyári úti szakaszoló tolózárja.</t>
  </si>
  <si>
    <t xml:space="preserve"> 10.2.1</t>
  </si>
  <si>
    <t xml:space="preserve"> 10.2.2</t>
  </si>
  <si>
    <t>Rózsa utca a Bem utca és a Baross Gábor utca között, Baross Gábor utca a Rózsa utca és a Kenyérgyári utca között</t>
  </si>
  <si>
    <t>Széchenyi utca a Rózsa utca és a Széchenyi utcai tűzcsap között.</t>
  </si>
  <si>
    <t>Váci Mihály utcai D225 gerincvezeték a Rózsa utcai leágazáson keresztül</t>
  </si>
  <si>
    <t>Baross Gábor utcai feltalaj tűzcsap a Kenyérgyári utcai leágazástól Északra.</t>
  </si>
  <si>
    <t xml:space="preserve"> 10.3.1</t>
  </si>
  <si>
    <t xml:space="preserve"> 10.3.2</t>
  </si>
  <si>
    <t>Bethlen Gábor utca, a Kenyérgyári út és a Rózsa utca között.</t>
  </si>
  <si>
    <t>Kenyérgyári út a Váci Mihály utca és a Bethlen Gábor utca között.</t>
  </si>
  <si>
    <t>Rózsa utcai NA150 vezeték a leágazáson keresztül</t>
  </si>
  <si>
    <t>Váci Mihály utcai D225 gerinc a kenyérgyári leágazáson keresztül.</t>
  </si>
  <si>
    <t>Kenyérgyári úti vezeték Váci Mihály utcai leválasztó zárja</t>
  </si>
  <si>
    <t>Rózsa utcai vezetékről leágazó Bethlen Gábor utcai vezeték leválasztó zárja</t>
  </si>
  <si>
    <t>a Bethlen Gábor utca – Kenyérgyári út sarkon levő feltalaj tűzcsap</t>
  </si>
  <si>
    <t xml:space="preserve"> 10.4</t>
  </si>
  <si>
    <t>Gárdonyi Géza utca, a Kenyérgyári utca és a Rózsa utca között.
Kenyérgyári út a Gárdonyi Géza utca és a Baross Gábor utca között.</t>
  </si>
  <si>
    <t>A Rózsa utcától Északra leágazó tolózárak a Bajcsy-Zsilinszky utca, Gárdonyi Géza utca, Széchenyi utca és a Baross Gábor utcai vezetékekre.
Az Erkel Ferenc utcai vezeték Kenyérgyár úti vezetékről leválasztó tolózárja.
Rózsa utca Baross Gábor utcai szakaszoló NA150 tolózárja 
Baross Gábor utca Fék úti szakaszoló tolózárja.</t>
  </si>
  <si>
    <t xml:space="preserve"> 10.5</t>
  </si>
  <si>
    <t xml:space="preserve"> 10.6</t>
  </si>
  <si>
    <t xml:space="preserve"> 10.7</t>
  </si>
  <si>
    <t>Baross Gábor utca az Ipartelepi út és a Baross Gábor utca- Kenyérgyári út sarkon levő tűzcsap között.</t>
  </si>
  <si>
    <t>Az Ipartelepi út NA200 a Baross Gábor utcai leágazáson keresztül.</t>
  </si>
  <si>
    <t xml:space="preserve">A Rózsa utcáról Északra a Baross Gábor utcai vezetékek leválasztása.
Rózsa utca Baross Gábor utcai szakaszoló NA150 tolózárja 
A Kenyérgyár úti vezeték Baross Gábor utcai szakaszoló tolózárja.
Baross Gábor utca Fék úti leválasztó tolózárja.
</t>
  </si>
  <si>
    <t>a Baross Gábor utcai feltalaj tűzcsap a Kenyérgyári utcai leágazástól Északra.</t>
  </si>
  <si>
    <t>Fék utca, Baross Gábor utca az Fék utca és a Baross Gábor utca- Kenyérgyári út sarkon levő tűzcsap között.</t>
  </si>
  <si>
    <t>Váci Mihály utcai gerincvezeték a Fék utcai leágazáson keresztül.</t>
  </si>
  <si>
    <t>A Rózsa utcáról Északra a Baross Gábor utcai vezetékek leválasztása.
Rózsa utca Baross Gábor utcai szakaszoló NA150 tolózárja 
A Kenyérgyár úti vezeték Baross Gábor utcai szakaszoló tolózárja.
Baross Gábor utca Ipartelepi úti szakaszoló tolózárja.</t>
  </si>
  <si>
    <t>A Rózsa utcáról Délre a Bethlen Gábor utcai vezeték, Északra a Bajcsy-Zsilinszky utca, Gárdonyi Géza utca, Széchenyi utca és a Baross Gábor utcai vezetékek leválasztása.
A Kenyérgyár úti vezeték Erkel Ferenc utca  sarki Nyugati (Gárdonyi Géza utca felé eső) tolózárja.
Rózsa utca Baross Gábor utcai szakaszoló NA150 tolózárja 
Baross Gábor utca Fék úti szakaszoló tolózárja.</t>
  </si>
  <si>
    <t xml:space="preserve">Erkel Ferenc utca
Kenyérgyári út az Erkel Ferenc utca és a Baross Gábor utca között.
</t>
  </si>
  <si>
    <t>Váci Mihály utca - Gagarin utca – Emődi Dániel utca – Keglevich Károly út által határolt terület</t>
  </si>
  <si>
    <t>KPE110</t>
  </si>
  <si>
    <t>0,88-3,44</t>
  </si>
  <si>
    <t>A Rózsa utcától Északra leágazó tolózárak a Bajcsy-Zsilinszky utca, Gárdonyi Géza és a Baross Gábor utcai vezetékekre. 
A Gagarin utcáról a Széchenyi utcai vezeték leágazó tolózárja. Rózsa utca Gárdonyi utcába leágazó tz.
Baross Gábor utca Kenyérgyári úti szakaszoló és leágazó tolózárja.</t>
  </si>
  <si>
    <t xml:space="preserve"> 11.1.1</t>
  </si>
  <si>
    <t xml:space="preserve"> 11.1.2</t>
  </si>
  <si>
    <t xml:space="preserve"> 11.2.1</t>
  </si>
  <si>
    <t xml:space="preserve">Gagarin utca a Bem úttól az Emődi Dániel utcáig. </t>
  </si>
  <si>
    <t>Emődi Dániel utca a Gagarin utcától a Mátyás király utcáig.</t>
  </si>
  <si>
    <t>NA 100 KM-PVC</t>
  </si>
  <si>
    <t xml:space="preserve">A Táncsics utcai D225 gerincvezeték a Gagarin utca Nyugati leágazásán keresztül </t>
  </si>
  <si>
    <t>A Táncsics utcai D225 gerincvezeték</t>
  </si>
  <si>
    <t xml:space="preserve"> 11.2.2</t>
  </si>
  <si>
    <t xml:space="preserve">A Váci Mihály utcai D225 gerincvezeték a Mátyás király utcai leágazásán keresztül </t>
  </si>
  <si>
    <t xml:space="preserve">A Váci Mihály utcai D225 gerincvezeték </t>
  </si>
  <si>
    <t xml:space="preserve">Mátyás király utca </t>
  </si>
  <si>
    <t>Emődi Dániel utca a Mátyás király utcától a Keglevich Károly utcáig</t>
  </si>
  <si>
    <t>A Mátyás király utcai vezetékről a Radnóti és az Akácos utca leválasztó tolózárja mindkét irányban.
Az Emődi Dániel utcai vezeték Mátyás király utcai csomópont Gagarin utca felőli tolózárja.
A Keglevich Károly úti vezeték Váci Mihály utcai leválasztó tolózárja. (a gerincvezeték visszaszennyezésének elkerülése érdekében)</t>
  </si>
  <si>
    <t>Mátyás király utcai végtűzcsap</t>
  </si>
  <si>
    <t>Keglevich Károly utcai végtűzcsap.</t>
  </si>
  <si>
    <t>Gagarin utca északi végtűzcsapja</t>
  </si>
  <si>
    <t>Emődi Dániel utca Mátyás király utcai csomóponttól Északra eső altalaj tűzcsap</t>
  </si>
  <si>
    <t xml:space="preserve"> 11.3</t>
  </si>
  <si>
    <t xml:space="preserve"> 11.4</t>
  </si>
  <si>
    <t xml:space="preserve"> 11.5</t>
  </si>
  <si>
    <t>Délkeleti városrész Déli terület</t>
  </si>
  <si>
    <t>A Keglevich Károly utcai vezeték a végtűzcsapig</t>
  </si>
  <si>
    <t xml:space="preserve">A Váci Mihály utcai D225 gerincvezeték a Keglevich Károly utcai leágazásán keresztül </t>
  </si>
  <si>
    <t>A Keglevich Károly vezetékről a Radnóti, az Akácos utca és az Emődi Dániel utcai vezeték leválasztó tolózárja.</t>
  </si>
  <si>
    <t>A Radnóti utcai vezeték a Keglevich Károly utca és a Gagarin utca között</t>
  </si>
  <si>
    <t xml:space="preserve">A Keglevich Károly utcai NA150 vezeték a Radnóti utcai leágazásokon keresztül </t>
  </si>
  <si>
    <t>Radnóti utcai vezeték Gagarin utca felőli feltalaj tűzcsapja.</t>
  </si>
  <si>
    <t>Akácos utcai vezeték a Gagarin utca és a Keglevich Károly utca között.</t>
  </si>
  <si>
    <t xml:space="preserve">A Gagarin utcai vezeték Az Akácfa utcai leágazásán keresztül </t>
  </si>
  <si>
    <t>Keglevich Károly utca Akácfa utca sarok közelében levő altalaj tűzcsap.</t>
  </si>
  <si>
    <t xml:space="preserve"> 12.1</t>
  </si>
  <si>
    <t xml:space="preserve"> 12.2</t>
  </si>
  <si>
    <t>Május 1 utca Nyugati oldala a Déli Névtelen utcai leágazástól a Téglagyár utcáig. Téglagyár utca, Hunyadi utca a Téglagyár utcától a Hunyadi utca Déli végtűzcsapjáig</t>
  </si>
  <si>
    <t>Az Ipartelepi úti NA200 vezeték Május 1 úti lecsatlakozása.</t>
  </si>
  <si>
    <t>A Május 1 út- Téglagyár utcai csomópontban vízkormányzás a Május 1 utca Nyugati ágából a Téglagyár utcába, onnan pedig a Hunyadi utca Déli végébe. 
Zárandó a Május 1 utca Téglagyár sarkon a két Május 1 utcai ágat elválasztó tolózár és a Téglagyár utcától Északra eső Május 1 utcai tolózár.
A Hunyadi utcában a Téglagyár utcától Északra eső szakaszoló tolózárat.</t>
  </si>
  <si>
    <t xml:space="preserve">a Hunyadi utca Déli végág altalaj tűzcsapja. </t>
  </si>
  <si>
    <t>Május 1 út Keleti vezetéke a Vadvirág úttól Délre, a Déli Névtelen utcai összekötés a Muskátli útig, a Muskátli úti vezeték a Vadvirág útig, onnan a Vadvirág úti végtűzcsapig</t>
  </si>
  <si>
    <t>A Május 1 út Nyugati vezeték Vadvirág utcai lecsatlakozó csomópontjában a Május 1 út Keleti leágazása.</t>
  </si>
  <si>
    <t>A Május 1 út- Téglagyár utcai csomópontban vízkormányzás a Május 1 utca Nyugati ágából a Keleti ágába, onnan a Muskátli úton át a Vadvirág út végtűzcsapjáig. 
Zárandó a Hunyadi utca Téglagyár sarkon a Téglagyár utcai vezetéket leválasztó tolózár és a Téglagyár utcától Északra eső Május 1 utcai tolózár.
A Vadvirág út Május 1 út Keleti lecsatlakozásától Keletre eső szakaszoló tolózárja</t>
  </si>
  <si>
    <t xml:space="preserve">Vadvirág úti végág altalaj tűzcsapja. </t>
  </si>
  <si>
    <t xml:space="preserve"> 12.3</t>
  </si>
  <si>
    <t>Vadvirág utca a Május 1 utca Nyugati oldali vezetékétől a Vadvirág utca végtűzcsapjáig</t>
  </si>
  <si>
    <t>A Május 1 út Nyugati vezeték Vadvirág utcai lecsatlakozása</t>
  </si>
  <si>
    <t>A Május 1 út- Téglagyár utcai csomópontban vízkormányzás a Május 1 utca Nyugati ágából a Vadvirág utcába. 
Zárandó a Hunyadi utca Téglagyár sarkon a Téglagyár utcai vezetéket leválasztó tolózár és a Téglagyár utcától Északra eső Május 1 utcai tolózár.
A Vadvirág utcából a Muskátli úti vezeték leválasztó tolózárja</t>
  </si>
  <si>
    <t xml:space="preserve">Vadvirág  úti végág altalaj tűzcsapja. </t>
  </si>
  <si>
    <t xml:space="preserve">13. </t>
  </si>
  <si>
    <t>Délkeleti városrész Északi terület</t>
  </si>
  <si>
    <t>Hunyadi utca a Téglagyár utcától Észak felé és a Vasút utca állomási végtűzcsapjáig</t>
  </si>
  <si>
    <t xml:space="preserve"> 13.1</t>
  </si>
  <si>
    <t>A Téglagyári úti vezeték a Hunyadi utcai csatlakozáson keresztül</t>
  </si>
  <si>
    <t>A Hunyadi utca - Téglagyár utcai csomópontban vízkormányzás a Május 1 utca Nyugati ágából a Téglagyár utcába, onnan pedig a Hunyadi utca Északi végébe, majd ennek folytatásaként a Vasút utcai végágba. 
Zárandó a Május 1 utca Téglagyár sarkon a két Május 1 utcai ágat elválasztó tolózár és a Téglagyár utcától Északra eső Május 1 utcai tolózár.
A Május 1 úti vezetékből a vasútállomás felé a sínekre merőleges Vasút utcai vezeték leválasztó tolózárja.</t>
  </si>
  <si>
    <t xml:space="preserve">Vasút utca végtűzcsap az állomásnál. </t>
  </si>
  <si>
    <t xml:space="preserve"> 13.2</t>
  </si>
  <si>
    <t>Május 1 út a Vadvirág úttól Északra, ennek folytatásában a Vasút utca a Rákóczi útig.</t>
  </si>
  <si>
    <t>A Május 1 út Nyugati vezeték Vadvirág utcai lecsatlakozó csomópontjában a Május 1 út Északii leágazása.</t>
  </si>
  <si>
    <t xml:space="preserve"> 13.3</t>
  </si>
  <si>
    <t xml:space="preserve">A vasútállomás felé vezető köz a Május 1 utcától a vasútállomás előtt levő végtűzcsapig </t>
  </si>
  <si>
    <t>A Május 1 úti lecsatlakozás</t>
  </si>
  <si>
    <t xml:space="preserve">Ibolya úti végtűzcsap </t>
  </si>
  <si>
    <t xml:space="preserve"> 13.5</t>
  </si>
  <si>
    <t>Vasút utca a Rákóczi úttól a Vasút utcai végtűzcsapig</t>
  </si>
  <si>
    <t>A Rákóczi úti lecsatlakozás</t>
  </si>
  <si>
    <t>Május 1 útról a Nefelejcs út felé leágazó vezeték tolózárja és ebben a csomópontban a Május 1 úti szakaszoló tolózár.</t>
  </si>
  <si>
    <t xml:space="preserve">Vasút utca (köz) végtűzcsapja. </t>
  </si>
  <si>
    <t>Ófalu</t>
  </si>
  <si>
    <t xml:space="preserve"> 14.1</t>
  </si>
  <si>
    <t xml:space="preserve">Rákóczi úti NA150 KM-PVC vezeték a Mérai úttól a Rákóczi út 78 előtti altalaj tűzcsapig. </t>
  </si>
  <si>
    <t>A Mérai úti NA150 vezeték a Kossuth Lajos utcai vezetékről</t>
  </si>
  <si>
    <t xml:space="preserve">Rákóczi úti utolsó belterületi tűzcsap (Rákóczi út 71). </t>
  </si>
  <si>
    <t xml:space="preserve"> 14.2</t>
  </si>
  <si>
    <t xml:space="preserve"> 14.3</t>
  </si>
  <si>
    <t xml:space="preserve">Rákóczi úti szervizút az átkötéstől a vasút felé a 43 sz. előtti tűzcsapig. </t>
  </si>
  <si>
    <t>A végág további szakasza tűzcsap híján nem öblítendő.</t>
  </si>
  <si>
    <t xml:space="preserve">Rákóczi úti NA150 vezeték a szervizúti átkötésen keresztül </t>
  </si>
  <si>
    <t xml:space="preserve">Zárás nem szükséges </t>
  </si>
  <si>
    <t xml:space="preserve">A Rákóczi út 43 előtti szervizúti altalaj tűzcsap. </t>
  </si>
  <si>
    <t xml:space="preserve">Rákóczi úti szervizút az átkötéstől a Kelet felé a Dózsa György út, a Dózsa György úti hurokról Nyugat felé leágazó végág végtűzcsapjáig. </t>
  </si>
  <si>
    <t>Dózsa György úti hurokról Nyugat felé leágazó végág végtűzcsap</t>
  </si>
  <si>
    <t xml:space="preserve"> 14.4</t>
  </si>
  <si>
    <t xml:space="preserve"> 14.5</t>
  </si>
  <si>
    <t>Bársony utcai vezeték, a Dózsa György utcai vezeték Déli hurokvezetéke és a szennyvíztelepi végág a végtűzcsapig</t>
  </si>
  <si>
    <t xml:space="preserve">Rákóczi úti NA150 vezeték a szervizúti átkötésen és a Dózsa György utcai szakaszon keresztül </t>
  </si>
  <si>
    <t xml:space="preserve">A Vágóhíd úti vezeték Bársony utca felőli szakaszoló tolózárja </t>
  </si>
  <si>
    <t>szennyvíztelepi végág a végtűzcsapja.</t>
  </si>
  <si>
    <t>Rákóczi úti gerincvezetékről a Vágóhíd úti D110 KPE vezetéke a Bársony utcai szakaszoló tolózárig.</t>
  </si>
  <si>
    <t xml:space="preserve">A Rákóczi úti NA150 vezeték a Vágóhíd úti leágazáson keresztül </t>
  </si>
  <si>
    <t xml:space="preserve">A Vágóhíd úti vezeték Bársony utca felőli tűzcsapja </t>
  </si>
  <si>
    <t>A Gagarin utcáról a Radnóti és az Akácos utca leválasztó tolózárja.
Az Emődi Dániel utcai vezeték Mátyás király utcai csomópont Mátyás király és Keglevich felőli tolózárja.
A Keglevich Károly úti vezeték Váci Mihály utcai leválasztó tolózárja. (a gerincvezeték visszaszennyezésének elkerülése érdekében)</t>
  </si>
  <si>
    <t>NA 80 és NA 100</t>
  </si>
  <si>
    <t xml:space="preserve">A Gagarin utcáról a Radnóti utca leválasztó tolózárja.
A Mátyás király utcai vezeték Váci Mihály utcai és Akácos utcai szakaszoló tolózárja
A Keglevich Károly úti vezeték Akácos utcai szakaszoló tolózárja. </t>
  </si>
  <si>
    <t>A Mátyás király utcai vezeték Akácos utcai és az Emődi Dániel utcai szakaszoló tolózárja
A Keglevich Károly úti vezeték Akácos utcai és Emődi Dániel utcai szakaszoló tolózárja.</t>
  </si>
  <si>
    <t>2.98</t>
  </si>
  <si>
    <t>a Hunyadi utca Téglagyár utcától Északra eső szakaszoló tolózárja.
Zárva tartandó a Május 1 útról a Nefelejcs út felé leágazó vezeték tolózár</t>
  </si>
  <si>
    <t xml:space="preserve">Vasút utca 5 sz. előtti (Rákóczi út sarok közelében a CBA-val szemközti) tűzcsap. </t>
  </si>
  <si>
    <t>A Május 1 út és a Vasút utca expressz vezetékként kerül öblítésre. Nyitva marad a Május 1 út-ról a Rozmaring utca Déli részére lecsatlakozó tolózár és a Vasút közi végág.
Zárandó a Május 1 útról a Vasútállomás felé leágazás leválasztó zára és a Nefelejcs út felé leágazó vezeték tolózárja, és a Vasút u. a Rákóczi úti keresztezésnél</t>
  </si>
  <si>
    <t xml:space="preserve"> 13.4.1</t>
  </si>
  <si>
    <t xml:space="preserve"> 13.4.2</t>
  </si>
  <si>
    <t>Május 1 úttól a Rozmaring út D felé, Rozmaring út, Nefelejcs út tcs-ig</t>
  </si>
  <si>
    <t>Május 1 út Rozmaring utca Déli része felé eső leágazása</t>
  </si>
  <si>
    <t>Rozmaring út Északi része, Nefelejcs út felé leágazás</t>
  </si>
  <si>
    <t>Nefelejcs út, Ibolya út a végtűzcsapig.</t>
  </si>
  <si>
    <t>az előző ütemekben is zárva tartott Május 1 útról a Nefelejcs út felé leágazó vezeték tolózárja</t>
  </si>
  <si>
    <t>Május 1 út-ról a Rozmaring utca Déli részére lecsatlakozó tolózár.</t>
  </si>
  <si>
    <t>Nefelejcs út tcs</t>
  </si>
  <si>
    <t>Rákóczi úti vezetékről a Vasút utcai leválasztó tolózár, Rákóczi út leágazó zárjai (a visszaszennyeződés elkerülése érdekében).</t>
  </si>
  <si>
    <t>Forrói távvezeték Forrói glóbusz és a Széchenyi út- Rákóczi út közötti átkötés kötötti szakasza és a Rákóczi út Északi végág öblítése</t>
  </si>
  <si>
    <t>Forrói glóbusz a távvezeték a Széchenyi út- Rákóczi út csomópontban ideiglenesen felnyitandó átkötési tolózáron át.</t>
  </si>
  <si>
    <t>Forrói Rákóczi út Északi végág altalaj tűzcsapja</t>
  </si>
  <si>
    <t>Széchenyi úti elosztóvezeték a Rákóczi út és a Jókai út közötti és az Arany János utcai Északi végág</t>
  </si>
  <si>
    <t>22.</t>
  </si>
  <si>
    <t>23.</t>
  </si>
  <si>
    <t>Forrói távvezeték a Széchenyi út- Rákóczi út csomópontban ideiglenesen felnyitandó átkötési tolózáron át.</t>
  </si>
  <si>
    <t>Fő út Keleti elosztó vezeték Fancsali úti csomópont Északi szakaszoló tolózára
Rákóczi úti vezeték Széchenyi úti csomóponttól Délre eső szakaszoló tolózára
A Jókai utcai vezeték Iskola utcai leágazó tolózárja.</t>
  </si>
  <si>
    <t>Arany János utcai végág altalaj tűzcsapja</t>
  </si>
  <si>
    <t>Jókai úti vezeték öblítése a Széchenyi úttól az Iskola utcai végtűzcsapig</t>
  </si>
  <si>
    <t>Forrói távvezeték a Széchenyi út- Rákóczi út csomópontban ideiglenesen felnyitandó átkötési tolózáron át a Széchenyi úti elosztó vezeték a Jókai úti leágazásban</t>
  </si>
  <si>
    <t>Iskola utcai végág altalaj tűzcsapja</t>
  </si>
  <si>
    <t xml:space="preserve">Rákóczi úti vezeték öblítése a Széchenyi út és az Iskola utca között, Iskola utcai vezeték öblítése a Rákóczi úttól az Iskola utcai végtűzcsapig </t>
  </si>
  <si>
    <t>Széchenyi úti elosztóvezeték az átkötéstől a Fő utcáig, a Fő út Keleti elosztó vezeték a Széchenyi úttól az Iskola utcáig, az Iskola utcai vezeték a Fő utca és a Rákóczi út között, a Répási úti és a Sport utcai vezetékek öblítése a Sport utcai végtűzcsapig.</t>
  </si>
  <si>
    <t>NA100 és NA150 KM-PVC</t>
  </si>
  <si>
    <t>Sport utcai végág altalaj tűzcsapja</t>
  </si>
  <si>
    <t xml:space="preserve">Patak utcai végág </t>
  </si>
  <si>
    <t>Sport utcai NA100 KM-PVC.</t>
  </si>
  <si>
    <t>Az előző ütem folytatásaként többlet zárást nem igényel.</t>
  </si>
  <si>
    <t>Patak utcai végág altalaj tűzcsapja</t>
  </si>
  <si>
    <t xml:space="preserve">Fancsali úti végág </t>
  </si>
  <si>
    <t>Forrói távvezeték a Széchenyi út- Rákóczi út csomópontban ideiglenesen felnyitandó átkötési tolózáron át a Fő úti vezetékről.</t>
  </si>
  <si>
    <t>Fancsali úti végág altalaj tűzcsapja</t>
  </si>
  <si>
    <t xml:space="preserve">Fő úti Északi végág </t>
  </si>
  <si>
    <t>Forrói távvezeték a Széchenyi út- Rákóczi út csomópontban ideiglenesen felnyitandó átkötési tolózáron át</t>
  </si>
  <si>
    <t xml:space="preserve">Radnóti úti végág </t>
  </si>
  <si>
    <t>a Forrói távvezeték a Széchenyi út- Rákóczi út csomópontban ideiglenesen felnyitandó átkötési tolózáron át a Fő úti vezetékről.</t>
  </si>
  <si>
    <t>Radnóti úti végág altalaj tűzcsapja</t>
  </si>
  <si>
    <t xml:space="preserve">Bercsényi utcai végág </t>
  </si>
  <si>
    <t>Forrói távvezeték a Széchenyi út- Rákóczi út csomópontban ideiglenesen felnyitandó átkötési tolózáron át a Radnóti úti vezetékről.</t>
  </si>
  <si>
    <t>Bercsényi utcai végág altalaj tűzcsapja</t>
  </si>
  <si>
    <t xml:space="preserve">Fő út Nyugati vezeték a Fancsali utcától az Iskola utcától Délre levő Keleti ágra való átkötésig, a Fő út Keleti ág az átkötéstől az Iskola utcáig  </t>
  </si>
  <si>
    <t>a Forrói távvezeték a Széchenyi út- Rákóczi út csomópontban ideiglenesen felnyitandó átkötési tolózáron át a Fő út Keleti ágról való Fancsali úti csomópontbeli átkötésen keresztül.</t>
  </si>
  <si>
    <t>Fő út Iskola úti csomóponttól Délre eső altalaj tűzcsap.</t>
  </si>
  <si>
    <t xml:space="preserve">Nyárfa utca a glóbusztól a Béke útig </t>
  </si>
  <si>
    <t>Forrói glóbusz</t>
  </si>
  <si>
    <t>Nyárfa utca Béke út és Part utca közötti altalaj tűzcsapja</t>
  </si>
  <si>
    <t xml:space="preserve">József Attila út, Temetősori út a Béke úttól a Temetősori út végtűzcsapig </t>
  </si>
  <si>
    <t>Forrói glóbusztól a Nyárfa utca felől</t>
  </si>
  <si>
    <t xml:space="preserve">Akácfa út a Nyárfa utcától az Akácfa úti végtűzcsapig  </t>
  </si>
  <si>
    <t>24.</t>
  </si>
  <si>
    <t>25.</t>
  </si>
  <si>
    <t>Fő úti vezeték öblítése a Petőfi utcai csomóponttól az Iskola utcáig.</t>
  </si>
  <si>
    <t>Fő úti csomópontba érkező vezetékek (Fő út Délre eső szakaszai, Petőfi utca, Ady Endre út)</t>
  </si>
  <si>
    <t>Fő út Iskola utca sarki csomópontbeli Déli szakaszoló tolózárja.
Fő út Iskola utca sarki csomóponttól Délre eső Keleti oldali párhuzamos ágra átkötés leválasztó tolózárja.</t>
  </si>
  <si>
    <t xml:space="preserve"> Fő út Iskola úti csomóponttól Délre eső altalaj tűzcsap. </t>
  </si>
  <si>
    <t xml:space="preserve">Fő út Délkeleti NA200 vezeték végén levő altalaj tűzcsap. </t>
  </si>
  <si>
    <t>Part utcai NA150 KM-PVC vezeték Fő úti csomópontban</t>
  </si>
  <si>
    <t xml:space="preserve">Fő út a Part utcától a Szent Imre térig , Fő út Délkeleti vezetéke a Szent Imre tértől a végtűzcsapig </t>
  </si>
  <si>
    <t>Ady Endre út a Nyárfa utcától a Nap utca utáni végtűzcsapig</t>
  </si>
  <si>
    <t>a Forrói glóbusztól a Nyárfa utca felől</t>
  </si>
  <si>
    <t>NA150 és 100 KM-PVC</t>
  </si>
  <si>
    <t>Ady Endre úti végtűzcsap</t>
  </si>
  <si>
    <t xml:space="preserve">Ady Endre út (Keleti leágazás)az Ady Endre úttól a Petőfi úti végtűzcsapig. kb 223 m NA100 KM-PVC </t>
  </si>
  <si>
    <t>Forrói glóbusztól a Nyárfa utca és Ady Endre út felől</t>
  </si>
  <si>
    <t>Petőfi úti végtűzcsap</t>
  </si>
  <si>
    <t>Part utca a Nyárfa utcától a Fő útig, a Fő út Keleti elosztó vezetéke a Part utcától a Petőfi utcáig.</t>
  </si>
  <si>
    <t>Forrói glóbusztól a Nyárfa utcai gerincvezeték a Part utcai leágazáson keresztül</t>
  </si>
  <si>
    <t>Fő út Keleti vezeték Petőfi úti csomóponttól Délre levő tűzcsap</t>
  </si>
  <si>
    <t>A Fő út Nyugati elosztó vezeték öblítése a Part utcától a Petőfi utcáig. A Petőfi utcai vezeték öblítése a Fő úttól a Szent Imre térig (Part utca).</t>
  </si>
  <si>
    <t>Forrói glóbusztól a Nyárfa utcai gerincvezeték a Part utcáról a Fő úti Nyugati vezeték leágazásán keresztül</t>
  </si>
  <si>
    <t>A Petőfi utcai vezeték öblítése a Szent Imre tértől (Part utca) a Fő úti összekötő csomópontig</t>
  </si>
  <si>
    <t>Forrói glóbusztól a Nyárfa utcai gerincvezeték a Part utcáról</t>
  </si>
  <si>
    <t>Petőfi út Fő úti átkötéstől Délre eső tűzcsap (Kb. Petőfi u. 35)</t>
  </si>
  <si>
    <t>Béke út a Nyárfa utcától a Béke úti végtűzcsapig</t>
  </si>
  <si>
    <t>Külön zárást nem igényel. Együtt kezelendő a Nyárfa utcai vezeték öblítésével.</t>
  </si>
  <si>
    <t>Kossuth tér- Béke út (Északi hurok) a Part utcai leágazásig</t>
  </si>
  <si>
    <t>A József Attila úti NA150 KM-PVC vezeték Kossuth téri leágazása</t>
  </si>
  <si>
    <t>Szent Imre tér Part utca sarki altalaj tűzcsap.</t>
  </si>
  <si>
    <t>Béke úti altalaj végtűzcsap.</t>
  </si>
  <si>
    <t>Béke út (Déli hurok) a Part utcai leágazásig</t>
  </si>
  <si>
    <t>József Attila úti NA150 KM-PVC vezeték Kossuth téri leágazása</t>
  </si>
  <si>
    <t xml:space="preserve">Szent Imre téri Déli vezetékszakasza a huroktól a Fő útig, Fő út Délnyugati vezetéke a Szent Imre tértől a végtűzcsapig </t>
  </si>
  <si>
    <t>A József Attila úti NA150 KM-PVC vezeték Kossuth téren és a Béke úti hurokvezetéken keresztül, a hurok Szent Imre téri leágazása</t>
  </si>
  <si>
    <t>Fő út Délnyugati szervizútján (TÜZÉP) levő altalaj tűzcsap.</t>
  </si>
  <si>
    <t>NA 150 és 200 KM-PVC</t>
  </si>
  <si>
    <t>Petőfi út Ady átkötéstől délre első tűzcsap</t>
  </si>
  <si>
    <t>NA200 és NA100 KM-PVC</t>
  </si>
  <si>
    <t>Fő út Keleti elosztó vezeték Fancsali úti csomópont Északi szakaszoló tolózára
Rákóczi úti vezeték Széchenyi úti csomóponttól Délre eső szakaszoló és Keletre eső leválasztó tolózára. Encs felől expressz vezeték zárása vízmérőnél</t>
  </si>
  <si>
    <t>Fő út Keleti elosztó vezeték Fancsali úti csomópont Északi szakaszoló tolózára
Rákóczi úti vezeték Széchenyi úti csomóponttól Délre eső szakaszoló tolózára
Az Iskola utcai vezetéken a Rákóczi úti csomópontban a Keletre és Délre eső tolózár.</t>
  </si>
  <si>
    <t>Fő út Keleti elosztó vezeték Fancsali úti csomópont Északi szakaszoló tolózár
Fő út Keleti elosztó vezeték Iskola utcai csomópontban az Északi és a Déli szakaszoló tolózár. Jókai u leágazó tz az Iskola u-ból.</t>
  </si>
  <si>
    <t>1,1-2,43</t>
  </si>
  <si>
    <t>Fő út Keleti elosztó vezeték Fancsali úti csomópont Nyugati vezetékre átkötő tolózár
Fő út Keleti elosztó vezeték Iskola utcai csomópontban a Déli szakaszoló tolózár
Az Iskola utcai vezetéken a Rákóczi és Jókai úti csomópontban a Keletre eső tolózár. (a visszaszennyeződés megelőzése érdekében)</t>
  </si>
  <si>
    <t>Fő út Keleti és Nyugati elosztó vezeték Fancsali úti csomópont Déli szakaszoló tolózárjai. Fő út szakaszolózár a Petőfi u. átkötésnél zárva tartandó.</t>
  </si>
  <si>
    <t xml:space="preserve">Fő út Keleti ágán az Iskola úti csomópont Déli szakaszoló tolózárja és a Fő út egyesített (Keleti oldali) ágán a Fancsali pataktól Délre levő szakaszoló tolózár. Fő út szakaszolózár a Petőfi u. átkötésnél zárva tartandó. Az Iskola utcai vezetéken a Rákóczi és Jókai úti csomópontban a Keletre eső tolózár. </t>
  </si>
  <si>
    <t>Külön zárást nem igényel. Együtt kezelendő a Nyárfa utcai vezeték öblítésével.
(Nyárfa utcáról az Ady Endre úti vezeték lecsatlakozó tolózárja
Nyárfa utcáról a Part utcai vezeték lecsatlakozó tolózárja
József Attila útról Kossuth téri vezeték lecsatlakozó tolózárja)Fő út szakaszolózár a Petőfi u. átkötésnél zárva tartandó.</t>
  </si>
  <si>
    <t>Petőfi utca vezeték Ady Endre út (köz) és a Fő úti átkötés közé eső szakaszoló tolózárja.
Együtt kezelendő a Nyárfa utcai vezeték öblítésével.
(Nyárfa utcáról a Part utcai vezeték lecsatlakozó tolózárja
József Attila útról Kossuth téri vezeték lecsatlakozó tolózárja)Fő út szakaszolózár a Petőfi u. átkötésnél zárva tartandó.</t>
  </si>
  <si>
    <t>Petőfi útról a Fő út Nyugati vezetékre átkötés tolózárja 
Petőfi utca vezeték Ady Endre út (köz) és a Fő úti átkötés közé eső szakaszoló tolózárja.Fő út szakaszolózár a Petőfi u. átkötésnél zárva tartandó.</t>
  </si>
  <si>
    <t>Béke úti hurokvezeték Kossuth tér felőli elágazó csomópont Déli szakaszoló zárja
Béke úti hurokvezeték Szent Imre tér felőli elágazó csomópont Keleti szakaszoló zárja
A Part utcai vezeték mindkét tolózárja a Szent Imre téri csomópontjában. Fő út szakaszolózár a Petőfi u. átkötésnél zárva tartandó.</t>
  </si>
  <si>
    <t>Béke úti Északi hurokvezeték Part utca felőli lecsatlakozó tolózárja
Béke úti Déli hurokvezeték Szent Imre tér Fő út felé leágazó csomópont Déli lecsatlakozó tolózárja
A Part utcai vezeték mindkét tolózárja a Szent Imre téri csomópontjában. Fő út szakaszolózár a Petőfi u. átkötésnél zárva tartandó.</t>
  </si>
  <si>
    <t>Fő út kétoldali vezetékeinek szétválasztása a Szent Imre téri csomópont és a Fő út Déli végén levő átkötési tolózárak zárásával. Fő út szakaszolózár a Petőfi u. átkötésnél zárva tartandó.</t>
  </si>
  <si>
    <t>1,23-2,18</t>
  </si>
  <si>
    <t>Nyárfa utcáról az Ady Endre úti vezeték lecsatlakozó tolózárja
Nyárfa utcáról a Part utcai vezeték lecsatlakozó tolózárja
József Attila útról Kossuth téri vezeték lecsatlakozó tolózárja. Fő út szakaszolózár a Petőfi u. átkötésnél kinyitandó</t>
  </si>
  <si>
    <t>Temetősori út végtűzcsap</t>
  </si>
  <si>
    <t>Part utca- Petőfi utca vezeték leágazó tolózárja
Part utca- Szent Imre téri hurokvezeték leválasztó tolózárjai
Fő út – Part utca csomópontban a Fő út ágak közti zár.
Fő út – Petőfi út csomópontban a Fő út párhuzamos vezetékei közötti átkötés és a Fő út Keleti vezeték szakaszoló tolózárja 
Petőfi utca vezeték Ady Endre út (köz) és a Fő úti átkötés közé eső szakaszoló tolózárja.Fő út szakaszolózár a Petőfi u. átkötésnél zárva tartandó.</t>
  </si>
  <si>
    <t>0,94-3,68</t>
  </si>
  <si>
    <t>Part utca- Petőfi utca vezeték leágazó tolózárja
Part utca- Szent Imre téri hurokvezeték leválasztó tolózárjai
Fő út – Part utca csomópontban a Fő út Déli szakaszoló tolózárja és a Fő úti Nyugati vezeték leválasztó tolózárja, Fő út – Petőfi út csomópontban a Fő út párhuzamos vezetékei közötti átkötés és a Fő út Keleti vezeték szakaszoló tolózárja Fő út szakaszolózár a Petőfi u. átkötésnél zárva tartandó.</t>
  </si>
  <si>
    <t>Felsődobsza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</si>
</sst>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61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1" fontId="0" fillId="0" borderId="0" xfId="0" applyNumberFormat="1"/>
    <xf numFmtId="0" fontId="1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2" fillId="2" borderId="0" xfId="1" applyNumberFormat="1" applyAlignment="1">
      <alignment horizontal="center" vertical="center" wrapText="1"/>
    </xf>
    <xf numFmtId="0" fontId="2" fillId="2" borderId="0" xfId="1" applyAlignment="1">
      <alignment horizontal="center" vertical="center" wrapText="1"/>
    </xf>
    <xf numFmtId="16" fontId="2" fillId="2" borderId="0" xfId="1" applyNumberForma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1" xfId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" fontId="2" fillId="2" borderId="1" xfId="1" applyNumberFormat="1" applyBorder="1" applyAlignment="1">
      <alignment horizontal="center" vertical="center" wrapText="1"/>
    </xf>
    <xf numFmtId="14" fontId="2" fillId="2" borderId="1" xfId="1" applyNumberFormat="1" applyBorder="1" applyAlignment="1">
      <alignment horizontal="center" vertical="center" wrapText="1"/>
    </xf>
    <xf numFmtId="0" fontId="2" fillId="2" borderId="0" xfId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0"/>
  <sheetViews>
    <sheetView workbookViewId="0">
      <pane ySplit="1" topLeftCell="A2" activePane="bottomLeft" state="frozen"/>
      <selection pane="bottomLeft" activeCell="E10" sqref="E10"/>
    </sheetView>
  </sheetViews>
  <sheetFormatPr defaultRowHeight="14.4" x14ac:dyDescent="0.3"/>
  <cols>
    <col min="1" max="1" width="7.6640625" style="6" customWidth="1"/>
    <col min="2" max="2" width="17.88671875" style="1" customWidth="1"/>
    <col min="3" max="3" width="8.88671875" style="1"/>
    <col min="4" max="4" width="14.6640625" style="1" customWidth="1"/>
    <col min="5" max="5" width="56.5546875" style="1" customWidth="1"/>
    <col min="6" max="6" width="30.21875" style="1" customWidth="1"/>
    <col min="7" max="7" width="22.21875" style="1" customWidth="1"/>
    <col min="8" max="8" width="26.88671875" style="1" customWidth="1"/>
    <col min="9" max="9" width="13.21875" style="1" customWidth="1"/>
    <col min="10" max="10" width="11.109375" style="1" customWidth="1"/>
    <col min="11" max="13" width="8.88671875" style="1"/>
    <col min="14" max="14" width="12.44140625" style="1" customWidth="1"/>
    <col min="15" max="15" width="11.6640625" style="1" customWidth="1"/>
    <col min="16" max="16" width="9.44140625" style="1" customWidth="1"/>
    <col min="17" max="16384" width="8.88671875" style="1"/>
  </cols>
  <sheetData>
    <row r="1" spans="1:15" ht="57.6" x14ac:dyDescent="0.3">
      <c r="A1" s="6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16</v>
      </c>
      <c r="J1" s="1" t="s">
        <v>9</v>
      </c>
      <c r="K1" s="1" t="s">
        <v>10</v>
      </c>
      <c r="L1" s="1" t="s">
        <v>24</v>
      </c>
      <c r="M1" s="1" t="s">
        <v>17</v>
      </c>
      <c r="N1" s="1" t="s">
        <v>18</v>
      </c>
      <c r="O1" s="1" t="s">
        <v>7</v>
      </c>
    </row>
    <row r="2" spans="1:15" ht="43.2" x14ac:dyDescent="0.3">
      <c r="A2" s="7" t="s">
        <v>281</v>
      </c>
      <c r="B2" s="1" t="s">
        <v>320</v>
      </c>
      <c r="C2" s="1" t="s">
        <v>26</v>
      </c>
      <c r="D2" s="1" t="s">
        <v>77</v>
      </c>
      <c r="E2" s="1" t="s">
        <v>285</v>
      </c>
      <c r="G2" s="1" t="s">
        <v>286</v>
      </c>
      <c r="H2" s="5"/>
      <c r="I2" s="1">
        <v>343</v>
      </c>
      <c r="J2" s="2">
        <f>I2*3.14*0.15*0.15/4</f>
        <v>6.0582374999999997</v>
      </c>
      <c r="K2" s="2">
        <f t="shared" ref="K2" si="0">3*J2</f>
        <v>18.174712499999998</v>
      </c>
      <c r="L2" s="2">
        <v>0.48</v>
      </c>
      <c r="M2" s="1">
        <v>8.41</v>
      </c>
      <c r="N2" s="3">
        <f>K2/(M2*60*0.001)</f>
        <v>36.018058858501774</v>
      </c>
    </row>
    <row r="3" spans="1:15" ht="28.8" x14ac:dyDescent="0.3">
      <c r="A3" s="7" t="s">
        <v>282</v>
      </c>
      <c r="B3" s="1" t="s">
        <v>321</v>
      </c>
      <c r="C3" s="1" t="s">
        <v>26</v>
      </c>
      <c r="D3" s="1" t="s">
        <v>284</v>
      </c>
      <c r="E3" s="1" t="s">
        <v>288</v>
      </c>
      <c r="G3" s="1" t="s">
        <v>287</v>
      </c>
      <c r="H3" s="5"/>
      <c r="I3" s="1">
        <v>677</v>
      </c>
      <c r="J3" s="2">
        <f t="shared" ref="J3:J4" si="1">I3*3.14*0.15*0.15/4</f>
        <v>11.9575125</v>
      </c>
      <c r="K3" s="2">
        <f t="shared" ref="K3:K4" si="2">3*J3</f>
        <v>35.8725375</v>
      </c>
      <c r="L3" s="2">
        <v>0.75</v>
      </c>
      <c r="M3" s="1">
        <v>13.3</v>
      </c>
      <c r="N3" s="3">
        <f t="shared" ref="N3:N4" si="3">K3/(M3*60*0.001)</f>
        <v>44.953054511278197</v>
      </c>
    </row>
    <row r="4" spans="1:15" ht="28.8" x14ac:dyDescent="0.3">
      <c r="A4" s="7" t="s">
        <v>283</v>
      </c>
      <c r="B4" s="1" t="s">
        <v>322</v>
      </c>
      <c r="C4" s="1" t="s">
        <v>26</v>
      </c>
      <c r="D4" s="1" t="s">
        <v>82</v>
      </c>
      <c r="E4" s="1" t="s">
        <v>289</v>
      </c>
      <c r="G4" s="1" t="s">
        <v>287</v>
      </c>
      <c r="H4" s="5"/>
      <c r="I4" s="1">
        <f>844+576</f>
        <v>1420</v>
      </c>
      <c r="J4" s="2">
        <f t="shared" si="1"/>
        <v>25.080750000000002</v>
      </c>
      <c r="K4" s="2">
        <f t="shared" si="2"/>
        <v>75.242250000000013</v>
      </c>
      <c r="L4" s="2">
        <v>1.52</v>
      </c>
      <c r="M4" s="1">
        <v>26.77</v>
      </c>
      <c r="N4" s="3">
        <f t="shared" si="3"/>
        <v>46.844882330967508</v>
      </c>
    </row>
    <row r="5" spans="1:15" ht="43.2" x14ac:dyDescent="0.3">
      <c r="A5" s="7" t="s">
        <v>11</v>
      </c>
      <c r="B5" s="1" t="s">
        <v>78</v>
      </c>
      <c r="C5" s="1" t="s">
        <v>26</v>
      </c>
      <c r="D5" s="1" t="s">
        <v>82</v>
      </c>
      <c r="E5" s="1" t="s">
        <v>80</v>
      </c>
      <c r="G5" s="1" t="s">
        <v>79</v>
      </c>
      <c r="I5" s="1">
        <f>177+20+304+32</f>
        <v>533</v>
      </c>
      <c r="J5" s="2">
        <f>I5*3.14*0.15*0.15/4</f>
        <v>9.4141124999999999</v>
      </c>
      <c r="K5" s="2">
        <f t="shared" ref="K5" si="4">3*J5</f>
        <v>28.242337499999998</v>
      </c>
      <c r="L5" s="1">
        <v>2.5499999999999998</v>
      </c>
      <c r="M5" s="1">
        <v>45.1</v>
      </c>
      <c r="N5" s="3">
        <f t="shared" ref="N5:N20" si="5">K5/(M5*60*0.001)</f>
        <v>10.436931818181817</v>
      </c>
    </row>
    <row r="6" spans="1:15" ht="57.6" x14ac:dyDescent="0.3">
      <c r="A6" s="7" t="s">
        <v>12</v>
      </c>
      <c r="B6" s="1" t="s">
        <v>81</v>
      </c>
      <c r="C6" s="1" t="s">
        <v>26</v>
      </c>
      <c r="D6" s="1" t="s">
        <v>83</v>
      </c>
      <c r="E6" s="1" t="s">
        <v>90</v>
      </c>
      <c r="G6" s="1" t="s">
        <v>92</v>
      </c>
      <c r="I6" s="1">
        <f>181+63+326+194</f>
        <v>764</v>
      </c>
      <c r="J6" s="2">
        <f>I6*3.14*0.15*0.15/4</f>
        <v>13.494149999999999</v>
      </c>
      <c r="K6" s="2">
        <f t="shared" ref="K6" si="6">3*J6</f>
        <v>40.48245</v>
      </c>
      <c r="L6" s="1">
        <v>2.09</v>
      </c>
      <c r="M6" s="1">
        <v>36.950000000000003</v>
      </c>
      <c r="N6" s="3">
        <f t="shared" si="5"/>
        <v>18.260013531799729</v>
      </c>
    </row>
    <row r="7" spans="1:15" ht="57.6" x14ac:dyDescent="0.3">
      <c r="A7" s="7" t="s">
        <v>23</v>
      </c>
      <c r="B7" s="1" t="s">
        <v>86</v>
      </c>
      <c r="C7" s="1" t="s">
        <v>26</v>
      </c>
      <c r="D7" s="1" t="s">
        <v>83</v>
      </c>
      <c r="E7" s="1" t="s">
        <v>91</v>
      </c>
      <c r="G7" s="1" t="s">
        <v>88</v>
      </c>
      <c r="I7" s="1">
        <f>111+97+82+47+109+229</f>
        <v>675</v>
      </c>
      <c r="J7" s="2">
        <f>I7*3.14*0.15*0.15/4</f>
        <v>11.9221875</v>
      </c>
      <c r="K7" s="2">
        <f t="shared" ref="K7" si="7">3*J7</f>
        <v>35.766562499999999</v>
      </c>
      <c r="L7" s="1">
        <v>2.0099999999999998</v>
      </c>
      <c r="M7" s="1">
        <v>35.56</v>
      </c>
      <c r="N7" s="3">
        <f t="shared" si="5"/>
        <v>16.763480736782899</v>
      </c>
      <c r="O7" s="1" t="s">
        <v>99</v>
      </c>
    </row>
    <row r="8" spans="1:15" ht="43.2" x14ac:dyDescent="0.3">
      <c r="A8" s="7" t="s">
        <v>13</v>
      </c>
      <c r="B8" s="1" t="s">
        <v>87</v>
      </c>
      <c r="C8" s="1" t="s">
        <v>93</v>
      </c>
      <c r="D8" s="1" t="s">
        <v>89</v>
      </c>
      <c r="E8" s="1" t="s">
        <v>91</v>
      </c>
      <c r="G8" s="1" t="s">
        <v>85</v>
      </c>
      <c r="I8" s="1">
        <f>199+165+147+47</f>
        <v>558</v>
      </c>
      <c r="J8" s="2">
        <f>I8*3.14*0.15*0.15/4</f>
        <v>9.8556749999999997</v>
      </c>
      <c r="K8" s="2">
        <f t="shared" ref="K8:K9" si="8">3*J8</f>
        <v>29.567025000000001</v>
      </c>
      <c r="L8" s="1">
        <v>1.79</v>
      </c>
      <c r="M8" s="1">
        <v>31.69</v>
      </c>
      <c r="N8" s="3">
        <f t="shared" si="5"/>
        <v>15.550134111707163</v>
      </c>
    </row>
    <row r="9" spans="1:15" ht="57.6" x14ac:dyDescent="0.3">
      <c r="A9" s="7" t="s">
        <v>20</v>
      </c>
      <c r="B9" s="1" t="s">
        <v>94</v>
      </c>
      <c r="C9" s="1" t="s">
        <v>19</v>
      </c>
      <c r="D9" s="1" t="s">
        <v>83</v>
      </c>
      <c r="E9" s="1" t="s">
        <v>129</v>
      </c>
      <c r="G9" s="1" t="s">
        <v>109</v>
      </c>
      <c r="I9" s="1">
        <f>102+44+50+67+109+36+121</f>
        <v>529</v>
      </c>
      <c r="J9" s="2">
        <f>I9*3.14*0.1*0.1/4</f>
        <v>4.1526500000000004</v>
      </c>
      <c r="K9" s="2">
        <f t="shared" si="8"/>
        <v>12.45795</v>
      </c>
      <c r="L9" s="1">
        <v>2.1</v>
      </c>
      <c r="M9" s="1">
        <v>16.850000000000001</v>
      </c>
      <c r="N9" s="3">
        <f t="shared" si="5"/>
        <v>12.322403560830859</v>
      </c>
    </row>
    <row r="10" spans="1:15" ht="43.2" x14ac:dyDescent="0.3">
      <c r="A10" s="7" t="s">
        <v>21</v>
      </c>
      <c r="B10" s="1" t="s">
        <v>127</v>
      </c>
      <c r="C10" s="1" t="s">
        <v>19</v>
      </c>
      <c r="D10" s="1" t="s">
        <v>126</v>
      </c>
      <c r="E10" s="1" t="s">
        <v>121</v>
      </c>
      <c r="G10" s="1" t="s">
        <v>120</v>
      </c>
      <c r="I10" s="1">
        <f>63+139+76+29+158+191+36+109+67+50+44</f>
        <v>962</v>
      </c>
      <c r="J10" s="2">
        <f t="shared" ref="J10:J20" si="9">I10*3.14*0.1*0.1/4</f>
        <v>7.5517000000000012</v>
      </c>
      <c r="K10" s="2">
        <f t="shared" ref="K10:K20" si="10">3*J10</f>
        <v>22.655100000000004</v>
      </c>
      <c r="L10" s="1">
        <v>2.15</v>
      </c>
      <c r="M10" s="1">
        <v>17.23</v>
      </c>
      <c r="N10" s="3">
        <f t="shared" si="5"/>
        <v>21.91439349970981</v>
      </c>
    </row>
    <row r="11" spans="1:15" ht="43.2" x14ac:dyDescent="0.3">
      <c r="A11" s="7" t="s">
        <v>69</v>
      </c>
      <c r="B11" s="1" t="s">
        <v>95</v>
      </c>
      <c r="C11" s="1" t="s">
        <v>19</v>
      </c>
      <c r="D11" s="1" t="s">
        <v>110</v>
      </c>
      <c r="E11" s="1" t="s">
        <v>114</v>
      </c>
      <c r="G11" s="1" t="s">
        <v>109</v>
      </c>
      <c r="I11" s="1">
        <f>45+401+121</f>
        <v>567</v>
      </c>
      <c r="J11" s="2">
        <f t="shared" si="9"/>
        <v>4.4509500000000006</v>
      </c>
      <c r="K11" s="2">
        <f t="shared" si="10"/>
        <v>13.352850000000002</v>
      </c>
      <c r="L11" s="1">
        <v>1.86</v>
      </c>
      <c r="M11" s="1">
        <v>14.93</v>
      </c>
      <c r="N11" s="3">
        <f t="shared" si="5"/>
        <v>14.906061620897525</v>
      </c>
    </row>
    <row r="12" spans="1:15" ht="43.2" x14ac:dyDescent="0.3">
      <c r="A12" s="7" t="s">
        <v>70</v>
      </c>
      <c r="B12" s="1" t="s">
        <v>128</v>
      </c>
      <c r="C12" s="1" t="s">
        <v>19</v>
      </c>
      <c r="D12" s="1" t="s">
        <v>323</v>
      </c>
      <c r="E12" s="1" t="s">
        <v>113</v>
      </c>
      <c r="G12" s="1" t="s">
        <v>115</v>
      </c>
      <c r="I12" s="1">
        <f>94+35+67+109+36+401</f>
        <v>742</v>
      </c>
      <c r="J12" s="2">
        <f t="shared" si="9"/>
        <v>5.8247000000000009</v>
      </c>
      <c r="K12" s="2">
        <f t="shared" si="10"/>
        <v>17.474100000000004</v>
      </c>
      <c r="L12" s="1">
        <v>2.09</v>
      </c>
      <c r="M12" s="1">
        <v>16.75</v>
      </c>
      <c r="N12" s="3">
        <f t="shared" si="5"/>
        <v>17.387164179104481</v>
      </c>
    </row>
    <row r="13" spans="1:15" ht="28.8" x14ac:dyDescent="0.3">
      <c r="A13" s="7" t="s">
        <v>14</v>
      </c>
      <c r="B13" s="1" t="s">
        <v>124</v>
      </c>
      <c r="C13" s="1" t="s">
        <v>19</v>
      </c>
      <c r="D13" s="1" t="s">
        <v>110</v>
      </c>
      <c r="E13" s="1" t="s">
        <v>122</v>
      </c>
      <c r="G13" s="1" t="s">
        <v>123</v>
      </c>
      <c r="I13" s="1">
        <f>191+158+29+64</f>
        <v>442</v>
      </c>
      <c r="J13" s="2">
        <f t="shared" si="9"/>
        <v>3.4697000000000005</v>
      </c>
      <c r="K13" s="2">
        <f t="shared" si="10"/>
        <v>10.409100000000002</v>
      </c>
      <c r="L13" s="1">
        <v>2.2799999999999998</v>
      </c>
      <c r="M13" s="1">
        <v>18.2</v>
      </c>
      <c r="N13" s="3">
        <f t="shared" si="5"/>
        <v>9.5321428571428584</v>
      </c>
    </row>
    <row r="14" spans="1:15" ht="43.2" x14ac:dyDescent="0.3">
      <c r="A14" s="7" t="s">
        <v>15</v>
      </c>
      <c r="B14" s="1" t="s">
        <v>96</v>
      </c>
      <c r="C14" s="1" t="s">
        <v>19</v>
      </c>
      <c r="D14" s="1" t="s">
        <v>110</v>
      </c>
      <c r="E14" s="1" t="s">
        <v>125</v>
      </c>
      <c r="G14" s="1" t="s">
        <v>116</v>
      </c>
      <c r="I14" s="1">
        <f>35+94+29+76+139</f>
        <v>373</v>
      </c>
      <c r="J14" s="2">
        <f t="shared" si="9"/>
        <v>2.9280500000000007</v>
      </c>
      <c r="K14" s="2">
        <f t="shared" si="10"/>
        <v>8.7841500000000021</v>
      </c>
      <c r="L14" s="1">
        <v>2.7</v>
      </c>
      <c r="M14" s="1">
        <v>21.64</v>
      </c>
      <c r="N14" s="3">
        <f t="shared" si="5"/>
        <v>6.7653650646950094</v>
      </c>
    </row>
    <row r="15" spans="1:15" ht="43.2" x14ac:dyDescent="0.3">
      <c r="A15" s="7" t="s">
        <v>97</v>
      </c>
      <c r="B15" s="1" t="s">
        <v>98</v>
      </c>
      <c r="C15" s="1" t="s">
        <v>19</v>
      </c>
      <c r="D15" s="1" t="s">
        <v>111</v>
      </c>
      <c r="E15" s="1" t="s">
        <v>112</v>
      </c>
      <c r="G15" s="1" t="s">
        <v>117</v>
      </c>
      <c r="I15" s="1">
        <f>101+367</f>
        <v>468</v>
      </c>
      <c r="J15" s="2">
        <f t="shared" si="9"/>
        <v>3.6738</v>
      </c>
      <c r="K15" s="2">
        <f t="shared" si="10"/>
        <v>11.0214</v>
      </c>
      <c r="L15" s="1">
        <v>2.61</v>
      </c>
      <c r="M15" s="1">
        <v>20.93</v>
      </c>
      <c r="N15" s="3">
        <f t="shared" si="5"/>
        <v>8.7763975155279503</v>
      </c>
    </row>
    <row r="16" spans="1:15" ht="43.2" x14ac:dyDescent="0.3">
      <c r="A16" s="7" t="s">
        <v>99</v>
      </c>
      <c r="B16" s="1" t="s">
        <v>100</v>
      </c>
      <c r="C16" s="1" t="s">
        <v>19</v>
      </c>
      <c r="D16" s="1" t="s">
        <v>84</v>
      </c>
      <c r="F16" s="1" t="s">
        <v>80</v>
      </c>
      <c r="G16" s="1" t="s">
        <v>118</v>
      </c>
      <c r="I16" s="1">
        <v>171</v>
      </c>
      <c r="J16" s="2">
        <f t="shared" si="9"/>
        <v>1.3423500000000004</v>
      </c>
      <c r="K16" s="2">
        <f t="shared" si="10"/>
        <v>4.0270500000000009</v>
      </c>
      <c r="L16" s="1">
        <v>3.79</v>
      </c>
      <c r="M16" s="1">
        <v>30.36</v>
      </c>
      <c r="N16" s="3">
        <f t="shared" si="5"/>
        <v>2.2107213438735185</v>
      </c>
    </row>
    <row r="17" spans="1:14" ht="43.2" x14ac:dyDescent="0.3">
      <c r="A17" s="7" t="s">
        <v>101</v>
      </c>
      <c r="B17" s="1" t="s">
        <v>105</v>
      </c>
      <c r="C17" s="1" t="s">
        <v>19</v>
      </c>
      <c r="D17" s="1" t="s">
        <v>84</v>
      </c>
      <c r="F17" s="1" t="s">
        <v>80</v>
      </c>
      <c r="G17" s="1" t="s">
        <v>119</v>
      </c>
      <c r="I17" s="1">
        <f>32+65</f>
        <v>97</v>
      </c>
      <c r="J17" s="2">
        <f t="shared" si="9"/>
        <v>0.76144999999999996</v>
      </c>
      <c r="K17" s="2">
        <f t="shared" si="10"/>
        <v>2.2843499999999999</v>
      </c>
      <c r="L17" s="1">
        <v>3.45</v>
      </c>
      <c r="M17" s="1">
        <v>27.63</v>
      </c>
      <c r="N17" s="3">
        <f t="shared" si="5"/>
        <v>1.3779406442272892</v>
      </c>
    </row>
    <row r="18" spans="1:14" ht="43.2" x14ac:dyDescent="0.3">
      <c r="A18" s="7" t="s">
        <v>102</v>
      </c>
      <c r="B18" s="1" t="s">
        <v>106</v>
      </c>
      <c r="C18" s="1" t="s">
        <v>19</v>
      </c>
      <c r="D18" s="1" t="s">
        <v>84</v>
      </c>
      <c r="F18" s="1" t="s">
        <v>80</v>
      </c>
      <c r="G18" s="1" t="s">
        <v>118</v>
      </c>
      <c r="I18" s="1">
        <f>50+60+34+47+157+42+181</f>
        <v>571</v>
      </c>
      <c r="J18" s="2">
        <f t="shared" si="9"/>
        <v>4.4823500000000003</v>
      </c>
      <c r="K18" s="2">
        <f t="shared" si="10"/>
        <v>13.447050000000001</v>
      </c>
      <c r="L18" s="1">
        <v>2.19</v>
      </c>
      <c r="M18" s="1">
        <v>17.53</v>
      </c>
      <c r="N18" s="3">
        <f t="shared" si="5"/>
        <v>12.784797490017111</v>
      </c>
    </row>
    <row r="19" spans="1:14" ht="43.2" x14ac:dyDescent="0.3">
      <c r="A19" s="7" t="s">
        <v>103</v>
      </c>
      <c r="B19" s="1" t="s">
        <v>107</v>
      </c>
      <c r="C19" s="1" t="s">
        <v>19</v>
      </c>
      <c r="D19" s="1" t="s">
        <v>106</v>
      </c>
      <c r="F19" s="1" t="s">
        <v>80</v>
      </c>
      <c r="G19" s="1" t="s">
        <v>118</v>
      </c>
      <c r="I19" s="1">
        <v>310</v>
      </c>
      <c r="J19" s="2">
        <f t="shared" si="9"/>
        <v>2.4335000000000004</v>
      </c>
      <c r="K19" s="2">
        <f t="shared" si="10"/>
        <v>7.3005000000000013</v>
      </c>
      <c r="L19" s="1">
        <v>2.38</v>
      </c>
      <c r="M19" s="1">
        <v>19.07</v>
      </c>
      <c r="N19" s="3">
        <f t="shared" si="5"/>
        <v>6.3804404824331415</v>
      </c>
    </row>
    <row r="20" spans="1:14" ht="43.2" x14ac:dyDescent="0.3">
      <c r="A20" s="7" t="s">
        <v>104</v>
      </c>
      <c r="B20" s="1" t="s">
        <v>108</v>
      </c>
      <c r="C20" s="1" t="s">
        <v>19</v>
      </c>
      <c r="D20" s="1" t="s">
        <v>84</v>
      </c>
      <c r="F20" s="1" t="s">
        <v>80</v>
      </c>
      <c r="G20" s="1" t="s">
        <v>118</v>
      </c>
      <c r="I20" s="1">
        <f>224+69+192</f>
        <v>485</v>
      </c>
      <c r="J20" s="2">
        <f t="shared" si="9"/>
        <v>3.8072500000000007</v>
      </c>
      <c r="K20" s="2">
        <f t="shared" si="10"/>
        <v>11.421750000000003</v>
      </c>
      <c r="L20" s="1">
        <v>2.2000000000000002</v>
      </c>
      <c r="M20" s="1">
        <v>17.600000000000001</v>
      </c>
      <c r="N20" s="3">
        <f t="shared" si="5"/>
        <v>10.816051136363638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7"/>
  <sheetViews>
    <sheetView workbookViewId="0">
      <pane ySplit="1" topLeftCell="A2" activePane="bottomLeft" state="frozen"/>
      <selection pane="bottomLeft" activeCell="A2" sqref="A2:A7"/>
    </sheetView>
  </sheetViews>
  <sheetFormatPr defaultRowHeight="14.4" x14ac:dyDescent="0.3"/>
  <cols>
    <col min="1" max="1" width="5.77734375" style="1" customWidth="1"/>
    <col min="2" max="2" width="28.88671875" style="1" customWidth="1"/>
    <col min="3" max="3" width="8.88671875" style="1"/>
    <col min="4" max="4" width="27.77734375" style="1" customWidth="1"/>
    <col min="5" max="5" width="56.5546875" style="1" customWidth="1"/>
    <col min="6" max="6" width="20.44140625" style="1" customWidth="1"/>
    <col min="7" max="7" width="22.21875" style="1" customWidth="1"/>
    <col min="8" max="8" width="26.88671875" style="1" customWidth="1"/>
    <col min="9" max="9" width="13.21875" style="1" customWidth="1"/>
    <col min="10" max="10" width="11.109375" style="1" customWidth="1"/>
    <col min="11" max="12" width="8.88671875" style="1"/>
    <col min="13" max="13" width="6.5546875" style="1" customWidth="1"/>
    <col min="14" max="14" width="12.44140625" style="1" customWidth="1"/>
    <col min="15" max="15" width="11.6640625" style="1" customWidth="1"/>
    <col min="16" max="16" width="9.44140625" style="1" customWidth="1"/>
    <col min="17" max="16384" width="8.88671875" style="1"/>
  </cols>
  <sheetData>
    <row r="1" spans="1:15" ht="57.6" x14ac:dyDescent="0.3">
      <c r="A1" s="1" t="s">
        <v>256</v>
      </c>
      <c r="B1" s="1" t="s">
        <v>1</v>
      </c>
      <c r="C1" s="1" t="s">
        <v>8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16</v>
      </c>
      <c r="J1" s="1" t="s">
        <v>9</v>
      </c>
      <c r="K1" s="1" t="s">
        <v>10</v>
      </c>
      <c r="L1" s="1" t="s">
        <v>24</v>
      </c>
      <c r="M1" s="1" t="s">
        <v>17</v>
      </c>
      <c r="N1" s="1" t="s">
        <v>18</v>
      </c>
      <c r="O1" s="1" t="s">
        <v>7</v>
      </c>
    </row>
    <row r="2" spans="1:15" ht="43.2" x14ac:dyDescent="0.3">
      <c r="A2" s="8" t="s">
        <v>22</v>
      </c>
      <c r="B2" s="1" t="s">
        <v>257</v>
      </c>
      <c r="C2" s="1" t="s">
        <v>253</v>
      </c>
      <c r="D2" s="1" t="s">
        <v>213</v>
      </c>
      <c r="E2" s="1" t="s">
        <v>254</v>
      </c>
      <c r="G2" s="1" t="s">
        <v>255</v>
      </c>
      <c r="I2" s="1">
        <f>134+6+63+38+545+364+165+296</f>
        <v>1611</v>
      </c>
      <c r="J2" s="2">
        <f>I2*3.14*0.2*0.2/4</f>
        <v>50.585400000000007</v>
      </c>
      <c r="K2" s="2">
        <f t="shared" ref="K2" si="0">3*J2</f>
        <v>151.75620000000004</v>
      </c>
      <c r="L2" s="2">
        <v>1.93</v>
      </c>
      <c r="M2" s="1">
        <v>60.62</v>
      </c>
      <c r="N2" s="3">
        <f>K2/(M2*60*0.001)</f>
        <v>41.72335862751568</v>
      </c>
    </row>
    <row r="3" spans="1:15" ht="43.2" x14ac:dyDescent="0.3">
      <c r="A3" s="8" t="s">
        <v>11</v>
      </c>
      <c r="B3" s="1" t="s">
        <v>258</v>
      </c>
      <c r="C3" s="1" t="s">
        <v>259</v>
      </c>
      <c r="D3" s="1" t="s">
        <v>260</v>
      </c>
      <c r="E3" s="1" t="s">
        <v>261</v>
      </c>
      <c r="G3" s="1" t="s">
        <v>274</v>
      </c>
      <c r="I3" s="1">
        <f>394+410</f>
        <v>804</v>
      </c>
      <c r="J3" s="2">
        <f>I3*3.14*0.15*0.15/4</f>
        <v>14.200649999999998</v>
      </c>
      <c r="K3" s="2">
        <f t="shared" ref="K3" si="1">3*J3</f>
        <v>42.601949999999995</v>
      </c>
      <c r="L3" s="1">
        <v>2.61</v>
      </c>
      <c r="M3" s="1">
        <v>38.81</v>
      </c>
      <c r="N3" s="3">
        <f>K3/(M3*60*0.001)</f>
        <v>18.295091471270286</v>
      </c>
    </row>
    <row r="4" spans="1:15" ht="43.2" x14ac:dyDescent="0.3">
      <c r="A4" s="8" t="s">
        <v>12</v>
      </c>
      <c r="B4" s="1" t="s">
        <v>262</v>
      </c>
      <c r="C4" s="1" t="s">
        <v>263</v>
      </c>
      <c r="D4" s="1" t="s">
        <v>264</v>
      </c>
      <c r="E4" s="1" t="s">
        <v>261</v>
      </c>
      <c r="G4" s="1" t="s">
        <v>274</v>
      </c>
      <c r="I4" s="1">
        <f>188+1072</f>
        <v>1260</v>
      </c>
      <c r="J4" s="2">
        <f>I4*3.14*0.1*0.1/4</f>
        <v>9.8910000000000018</v>
      </c>
      <c r="K4" s="2">
        <f t="shared" ref="K4:K7" si="2">3*J4</f>
        <v>29.673000000000005</v>
      </c>
      <c r="L4" s="1">
        <v>1.45</v>
      </c>
      <c r="M4" s="1">
        <v>11.59</v>
      </c>
      <c r="N4" s="3">
        <f t="shared" ref="N4:N7" si="3">K4/(M4*60*0.001)</f>
        <v>42.67040552200173</v>
      </c>
    </row>
    <row r="5" spans="1:15" ht="72" x14ac:dyDescent="0.3">
      <c r="A5" s="8" t="s">
        <v>23</v>
      </c>
      <c r="B5" s="1" t="s">
        <v>266</v>
      </c>
      <c r="C5" s="1" t="s">
        <v>263</v>
      </c>
      <c r="D5" s="1" t="s">
        <v>269</v>
      </c>
      <c r="E5" s="1" t="s">
        <v>261</v>
      </c>
      <c r="G5" s="1" t="s">
        <v>273</v>
      </c>
      <c r="I5" s="1">
        <f>120+164+107</f>
        <v>391</v>
      </c>
      <c r="J5" s="2">
        <f t="shared" ref="J5:J7" si="4">I5*3.14*0.1*0.1/4</f>
        <v>3.06935</v>
      </c>
      <c r="K5" s="2">
        <f t="shared" si="2"/>
        <v>9.2080500000000001</v>
      </c>
      <c r="L5" s="1">
        <v>2.42</v>
      </c>
      <c r="M5" s="1">
        <v>29.8</v>
      </c>
      <c r="N5" s="3">
        <f t="shared" si="3"/>
        <v>5.1499161073825501</v>
      </c>
    </row>
    <row r="6" spans="1:15" ht="72" x14ac:dyDescent="0.3">
      <c r="A6" s="8" t="s">
        <v>13</v>
      </c>
      <c r="B6" s="1" t="s">
        <v>267</v>
      </c>
      <c r="C6" s="1" t="s">
        <v>263</v>
      </c>
      <c r="D6" s="1" t="s">
        <v>269</v>
      </c>
      <c r="E6" s="1" t="s">
        <v>261</v>
      </c>
      <c r="G6" s="1" t="s">
        <v>272</v>
      </c>
      <c r="I6" s="1">
        <f>120+72+75</f>
        <v>267</v>
      </c>
      <c r="J6" s="2">
        <f t="shared" si="4"/>
        <v>2.0959500000000002</v>
      </c>
      <c r="K6" s="2">
        <f t="shared" si="2"/>
        <v>6.2878500000000006</v>
      </c>
      <c r="L6" s="1">
        <v>2.63</v>
      </c>
      <c r="M6" s="1">
        <v>27.67</v>
      </c>
      <c r="N6" s="3">
        <f t="shared" si="3"/>
        <v>3.787405131911818</v>
      </c>
    </row>
    <row r="7" spans="1:15" ht="43.2" x14ac:dyDescent="0.3">
      <c r="A7" s="8" t="s">
        <v>187</v>
      </c>
      <c r="B7" s="1" t="s">
        <v>268</v>
      </c>
      <c r="C7" s="1" t="s">
        <v>263</v>
      </c>
      <c r="D7" s="1" t="s">
        <v>270</v>
      </c>
      <c r="E7" s="1" t="s">
        <v>261</v>
      </c>
      <c r="G7" s="1" t="s">
        <v>271</v>
      </c>
      <c r="I7" s="1">
        <v>443</v>
      </c>
      <c r="J7" s="2">
        <f t="shared" si="4"/>
        <v>3.4775500000000004</v>
      </c>
      <c r="K7" s="2">
        <f t="shared" si="2"/>
        <v>10.432650000000001</v>
      </c>
      <c r="L7" s="1">
        <v>1.73</v>
      </c>
      <c r="M7" s="1">
        <v>13.89</v>
      </c>
      <c r="N7" s="3">
        <f t="shared" si="3"/>
        <v>12.518178545716342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1"/>
  <sheetViews>
    <sheetView workbookViewId="0">
      <pane ySplit="1" topLeftCell="A2" activePane="bottomLeft" state="frozen"/>
      <selection pane="bottomLeft" activeCell="B65" sqref="B65"/>
    </sheetView>
  </sheetViews>
  <sheetFormatPr defaultRowHeight="14.4" x14ac:dyDescent="0.3"/>
  <cols>
    <col min="1" max="1" width="7.21875" style="10" customWidth="1"/>
    <col min="2" max="2" width="28.88671875" style="10" customWidth="1"/>
    <col min="3" max="3" width="8.88671875" style="10"/>
    <col min="4" max="4" width="27.77734375" style="10" customWidth="1"/>
    <col min="5" max="5" width="56.5546875" style="10" customWidth="1"/>
    <col min="6" max="6" width="20.44140625" style="10" customWidth="1"/>
    <col min="7" max="7" width="22.21875" style="10" customWidth="1"/>
    <col min="8" max="8" width="17.5546875" style="10" customWidth="1"/>
    <col min="9" max="9" width="13.21875" style="10" customWidth="1"/>
    <col min="10" max="10" width="11.109375" style="10" customWidth="1"/>
    <col min="11" max="11" width="10.5546875" style="10" bestFit="1" customWidth="1"/>
    <col min="12" max="12" width="9.44140625" style="10" bestFit="1" customWidth="1"/>
    <col min="13" max="13" width="6.5546875" style="10" customWidth="1"/>
    <col min="14" max="14" width="12.44140625" style="10" customWidth="1"/>
    <col min="15" max="15" width="11.6640625" style="10" customWidth="1"/>
    <col min="16" max="16" width="9.44140625" style="10" customWidth="1"/>
    <col min="17" max="16384" width="8.88671875" style="10"/>
  </cols>
  <sheetData>
    <row r="1" spans="1:15" ht="57.6" x14ac:dyDescent="0.3">
      <c r="A1" s="10" t="s">
        <v>256</v>
      </c>
      <c r="B1" s="10" t="s">
        <v>1</v>
      </c>
      <c r="C1" s="10" t="s">
        <v>8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16</v>
      </c>
      <c r="J1" s="10" t="s">
        <v>9</v>
      </c>
      <c r="K1" s="10" t="s">
        <v>10</v>
      </c>
      <c r="L1" s="10" t="s">
        <v>24</v>
      </c>
      <c r="M1" s="10" t="s">
        <v>17</v>
      </c>
      <c r="N1" s="10" t="s">
        <v>18</v>
      </c>
      <c r="O1" s="10" t="s">
        <v>7</v>
      </c>
    </row>
    <row r="2" spans="1:15" ht="57.6" x14ac:dyDescent="0.3">
      <c r="A2" s="11" t="s">
        <v>22</v>
      </c>
      <c r="B2" s="10" t="s">
        <v>257</v>
      </c>
      <c r="C2" s="10" t="s">
        <v>253</v>
      </c>
      <c r="D2" s="10" t="s">
        <v>213</v>
      </c>
      <c r="E2" s="10" t="s">
        <v>254</v>
      </c>
      <c r="G2" s="10" t="s">
        <v>255</v>
      </c>
      <c r="H2" s="10" t="s">
        <v>280</v>
      </c>
      <c r="I2" s="10">
        <f>134+6+63+38+545+364+165+296</f>
        <v>1611</v>
      </c>
      <c r="J2" s="12">
        <f>I2*3.14*0.2*0.2/4</f>
        <v>50.585400000000007</v>
      </c>
      <c r="K2" s="12">
        <f t="shared" ref="K2:K3" si="0">3*J2</f>
        <v>151.75620000000004</v>
      </c>
      <c r="L2" s="12">
        <v>1.93</v>
      </c>
      <c r="M2" s="10">
        <v>60.62</v>
      </c>
      <c r="N2" s="13">
        <f>K2/(M2*60*0.001)</f>
        <v>41.72335862751568</v>
      </c>
    </row>
    <row r="3" spans="1:15" ht="100.8" x14ac:dyDescent="0.3">
      <c r="A3" s="11" t="s">
        <v>11</v>
      </c>
      <c r="B3" s="10" t="s">
        <v>265</v>
      </c>
      <c r="C3" s="10" t="s">
        <v>305</v>
      </c>
      <c r="D3" s="10" t="s">
        <v>213</v>
      </c>
      <c r="E3" s="10" t="s">
        <v>310</v>
      </c>
      <c r="G3" s="10" t="s">
        <v>303</v>
      </c>
      <c r="I3" s="10">
        <f>185+143+241+295+140+82+178+82+56+68+38+69+136</f>
        <v>1713</v>
      </c>
      <c r="J3" s="12">
        <f>I3*3.14*0.2*0.2/4</f>
        <v>53.78820000000001</v>
      </c>
      <c r="K3" s="12">
        <f t="shared" si="0"/>
        <v>161.36460000000002</v>
      </c>
      <c r="L3" s="10">
        <v>1.93</v>
      </c>
      <c r="M3" s="10">
        <v>60.65</v>
      </c>
      <c r="N3" s="13">
        <f>K3/(M3*60*0.001)</f>
        <v>44.343116240725479</v>
      </c>
    </row>
    <row r="4" spans="1:15" ht="144" x14ac:dyDescent="0.3">
      <c r="A4" s="11" t="s">
        <v>12</v>
      </c>
      <c r="B4" s="10" t="s">
        <v>304</v>
      </c>
      <c r="C4" s="10" t="s">
        <v>253</v>
      </c>
      <c r="D4" s="10" t="s">
        <v>306</v>
      </c>
      <c r="E4" s="10" t="s">
        <v>309</v>
      </c>
      <c r="G4" s="10" t="s">
        <v>307</v>
      </c>
      <c r="H4" s="10" t="s">
        <v>308</v>
      </c>
      <c r="I4" s="10">
        <f>201+331+103+189+106+38</f>
        <v>968</v>
      </c>
      <c r="J4" s="12">
        <f t="shared" ref="J4:J5" si="1">I4*3.14*0.2*0.2/4</f>
        <v>30.395200000000003</v>
      </c>
      <c r="K4" s="12">
        <f t="shared" ref="K4:K18" si="2">3*J4</f>
        <v>91.185600000000008</v>
      </c>
      <c r="L4" s="10">
        <v>1.87</v>
      </c>
      <c r="M4" s="10">
        <v>58.67</v>
      </c>
      <c r="N4" s="13">
        <f t="shared" ref="N4:N18" si="3">K4/(M4*60*0.001)</f>
        <v>25.903528208624508</v>
      </c>
    </row>
    <row r="5" spans="1:15" ht="100.8" x14ac:dyDescent="0.3">
      <c r="A5" s="11" t="s">
        <v>23</v>
      </c>
      <c r="B5" s="10" t="s">
        <v>311</v>
      </c>
      <c r="C5" s="10" t="s">
        <v>253</v>
      </c>
      <c r="D5" s="10" t="s">
        <v>312</v>
      </c>
      <c r="E5" s="10" t="s">
        <v>314</v>
      </c>
      <c r="G5" s="10" t="s">
        <v>313</v>
      </c>
      <c r="I5" s="10">
        <f>545+208+61</f>
        <v>814</v>
      </c>
      <c r="J5" s="12">
        <f t="shared" si="1"/>
        <v>25.559600000000003</v>
      </c>
      <c r="K5" s="12">
        <f t="shared" si="2"/>
        <v>76.67880000000001</v>
      </c>
      <c r="L5" s="10">
        <v>1.52</v>
      </c>
      <c r="M5" s="10">
        <v>47.81</v>
      </c>
      <c r="N5" s="13">
        <f t="shared" si="3"/>
        <v>26.730391131562435</v>
      </c>
    </row>
    <row r="6" spans="1:15" ht="115.2" x14ac:dyDescent="0.3">
      <c r="A6" s="11" t="s">
        <v>13</v>
      </c>
      <c r="B6" s="10" t="s">
        <v>315</v>
      </c>
      <c r="C6" s="10" t="s">
        <v>316</v>
      </c>
      <c r="D6" s="10" t="s">
        <v>317</v>
      </c>
      <c r="E6" s="10" t="s">
        <v>319</v>
      </c>
      <c r="G6" s="10" t="s">
        <v>318</v>
      </c>
      <c r="I6" s="10">
        <f>593+42+413+342</f>
        <v>1390</v>
      </c>
      <c r="J6" s="12">
        <f>(593+42+413)*3.14*0.15*0.15/4+342*3.14*0.25*0.1*0.1</f>
        <v>21.195</v>
      </c>
      <c r="K6" s="12">
        <f t="shared" si="2"/>
        <v>63.585000000000001</v>
      </c>
      <c r="L6" s="10">
        <v>1.4</v>
      </c>
      <c r="M6" s="10">
        <v>24.7</v>
      </c>
      <c r="N6" s="13">
        <f t="shared" si="3"/>
        <v>42.904858299595141</v>
      </c>
    </row>
    <row r="7" spans="1:15" x14ac:dyDescent="0.3">
      <c r="A7" s="11" t="s">
        <v>187</v>
      </c>
      <c r="B7" s="20" t="s">
        <v>349</v>
      </c>
      <c r="C7" s="21"/>
      <c r="D7" s="21"/>
      <c r="E7" s="21"/>
      <c r="F7" s="21"/>
      <c r="G7" s="21"/>
      <c r="H7" s="22"/>
      <c r="I7" s="10">
        <f>SUM(I8:I12)</f>
        <v>5569</v>
      </c>
    </row>
    <row r="8" spans="1:15" ht="43.2" x14ac:dyDescent="0.3">
      <c r="A8" s="11" t="s">
        <v>20</v>
      </c>
      <c r="B8" s="10" t="s">
        <v>350</v>
      </c>
      <c r="C8" s="10" t="s">
        <v>383</v>
      </c>
      <c r="D8" s="10" t="s">
        <v>384</v>
      </c>
      <c r="E8" s="10" t="s">
        <v>386</v>
      </c>
      <c r="G8" s="10" t="s">
        <v>385</v>
      </c>
      <c r="I8" s="10">
        <f>126+28+246+288</f>
        <v>688</v>
      </c>
      <c r="J8" s="12">
        <f>I8*3.14*0.1*0.1/4</f>
        <v>5.4008000000000012</v>
      </c>
      <c r="K8" s="12">
        <f t="shared" si="2"/>
        <v>16.202400000000004</v>
      </c>
      <c r="L8" s="10">
        <v>2.76</v>
      </c>
      <c r="M8" s="10">
        <v>22.11</v>
      </c>
      <c r="N8" s="13">
        <f t="shared" si="3"/>
        <v>12.213478064224336</v>
      </c>
    </row>
    <row r="9" spans="1:15" ht="43.2" x14ac:dyDescent="0.3">
      <c r="A9" s="11" t="s">
        <v>21</v>
      </c>
      <c r="B9" s="10" t="s">
        <v>351</v>
      </c>
      <c r="C9" s="10" t="s">
        <v>383</v>
      </c>
      <c r="D9" s="10" t="s">
        <v>387</v>
      </c>
      <c r="E9" s="10" t="s">
        <v>388</v>
      </c>
      <c r="G9" s="10" t="s">
        <v>389</v>
      </c>
      <c r="I9" s="10">
        <f>616+119+613-49</f>
        <v>1299</v>
      </c>
      <c r="J9" s="12">
        <f t="shared" ref="J9:J22" si="4">I9*3.14*0.1*0.1/4</f>
        <v>10.197150000000001</v>
      </c>
      <c r="K9" s="12">
        <f t="shared" si="2"/>
        <v>30.591450000000002</v>
      </c>
      <c r="L9" s="10">
        <v>2.23</v>
      </c>
      <c r="M9" s="10">
        <v>17.84</v>
      </c>
      <c r="N9" s="13">
        <f t="shared" si="3"/>
        <v>28.579456278026907</v>
      </c>
    </row>
    <row r="10" spans="1:15" ht="72" x14ac:dyDescent="0.3">
      <c r="A10" s="11" t="s">
        <v>352</v>
      </c>
      <c r="B10" s="10" t="s">
        <v>353</v>
      </c>
      <c r="C10" s="10" t="s">
        <v>383</v>
      </c>
      <c r="D10" s="10" t="s">
        <v>390</v>
      </c>
      <c r="E10" s="10" t="s">
        <v>391</v>
      </c>
      <c r="G10" s="10" t="s">
        <v>392</v>
      </c>
      <c r="I10" s="10">
        <f>613+202+96+140+106+142+101+96+95+91+136+96+95+95+69</f>
        <v>2173</v>
      </c>
      <c r="J10" s="12">
        <f t="shared" si="4"/>
        <v>17.058050000000005</v>
      </c>
      <c r="K10" s="12">
        <f t="shared" si="2"/>
        <v>51.174150000000012</v>
      </c>
      <c r="L10" s="10">
        <v>1.69</v>
      </c>
      <c r="M10" s="10">
        <v>13.52</v>
      </c>
      <c r="N10" s="13">
        <f t="shared" si="3"/>
        <v>63.084504437869846</v>
      </c>
    </row>
    <row r="11" spans="1:15" ht="57.6" x14ac:dyDescent="0.3">
      <c r="A11" s="11" t="s">
        <v>355</v>
      </c>
      <c r="B11" s="10" t="s">
        <v>354</v>
      </c>
      <c r="C11" s="10" t="s">
        <v>383</v>
      </c>
      <c r="D11" s="10" t="s">
        <v>393</v>
      </c>
      <c r="E11" s="10" t="s">
        <v>394</v>
      </c>
      <c r="G11" s="10" t="s">
        <v>395</v>
      </c>
      <c r="I11" s="10">
        <f>93+96+140+106+142+101+96+95+91+19</f>
        <v>979</v>
      </c>
      <c r="J11" s="12">
        <f t="shared" si="4"/>
        <v>7.6851500000000001</v>
      </c>
      <c r="K11" s="12">
        <f t="shared" si="2"/>
        <v>23.05545</v>
      </c>
      <c r="L11" s="10">
        <v>2.56</v>
      </c>
      <c r="M11" s="10">
        <v>20.49</v>
      </c>
      <c r="N11" s="13">
        <f t="shared" si="3"/>
        <v>18.753416300634459</v>
      </c>
    </row>
    <row r="12" spans="1:15" ht="86.4" x14ac:dyDescent="0.3">
      <c r="A12" s="11" t="s">
        <v>396</v>
      </c>
      <c r="B12" s="10" t="s">
        <v>356</v>
      </c>
      <c r="C12" s="10" t="s">
        <v>383</v>
      </c>
      <c r="D12" s="10" t="s">
        <v>398</v>
      </c>
      <c r="E12" s="10" t="s">
        <v>397</v>
      </c>
      <c r="G12" s="10" t="s">
        <v>399</v>
      </c>
      <c r="I12" s="10">
        <f>137+145+148</f>
        <v>430</v>
      </c>
      <c r="J12" s="12">
        <f t="shared" si="4"/>
        <v>3.3755000000000006</v>
      </c>
      <c r="K12" s="12">
        <f t="shared" si="2"/>
        <v>10.126500000000002</v>
      </c>
      <c r="L12" s="10">
        <v>3.94</v>
      </c>
      <c r="M12" s="10">
        <v>31.56</v>
      </c>
      <c r="N12" s="13">
        <f t="shared" si="3"/>
        <v>5.3477503168567821</v>
      </c>
    </row>
    <row r="13" spans="1:15" x14ac:dyDescent="0.3">
      <c r="A13" s="11" t="s">
        <v>159</v>
      </c>
      <c r="B13" s="20" t="s">
        <v>400</v>
      </c>
      <c r="C13" s="21"/>
      <c r="D13" s="21"/>
      <c r="E13" s="21"/>
      <c r="F13" s="21"/>
      <c r="G13" s="21"/>
      <c r="H13" s="21"/>
      <c r="I13" s="14">
        <f>SUM(I14:I17)</f>
        <v>951</v>
      </c>
      <c r="J13" s="15">
        <f t="shared" ref="J13:N13" si="5">SUM(J14:J17)</f>
        <v>7.4653500000000017</v>
      </c>
      <c r="K13" s="15">
        <f t="shared" si="5"/>
        <v>22.396050000000002</v>
      </c>
      <c r="L13" s="15"/>
      <c r="M13" s="15"/>
      <c r="N13" s="15">
        <f t="shared" si="5"/>
        <v>11.928200666765418</v>
      </c>
    </row>
    <row r="14" spans="1:15" ht="43.2" x14ac:dyDescent="0.3">
      <c r="A14" s="16" t="s">
        <v>357</v>
      </c>
      <c r="B14" s="10" t="s">
        <v>361</v>
      </c>
      <c r="C14" s="10" t="s">
        <v>263</v>
      </c>
      <c r="D14" s="10" t="s">
        <v>366</v>
      </c>
      <c r="E14" s="10" t="s">
        <v>367</v>
      </c>
      <c r="G14" s="10" t="s">
        <v>368</v>
      </c>
      <c r="I14" s="10">
        <f>136+35+33+154+74</f>
        <v>432</v>
      </c>
      <c r="J14" s="12">
        <f t="shared" si="4"/>
        <v>3.3912</v>
      </c>
      <c r="K14" s="12">
        <f t="shared" si="2"/>
        <v>10.1736</v>
      </c>
      <c r="L14" s="10">
        <v>3.94</v>
      </c>
      <c r="M14" s="10">
        <v>31.55</v>
      </c>
      <c r="N14" s="13">
        <f t="shared" si="3"/>
        <v>5.3743264659271004</v>
      </c>
    </row>
    <row r="15" spans="1:15" ht="43.2" x14ac:dyDescent="0.3">
      <c r="A15" s="11" t="s">
        <v>358</v>
      </c>
      <c r="B15" s="10" t="s">
        <v>362</v>
      </c>
      <c r="C15" s="10" t="s">
        <v>263</v>
      </c>
      <c r="D15" s="10" t="s">
        <v>366</v>
      </c>
      <c r="E15" s="10" t="s">
        <v>367</v>
      </c>
      <c r="G15" s="10" t="s">
        <v>369</v>
      </c>
      <c r="I15" s="10">
        <f>128+32+45</f>
        <v>205</v>
      </c>
      <c r="J15" s="12">
        <f t="shared" si="4"/>
        <v>1.6092500000000003</v>
      </c>
      <c r="K15" s="12">
        <f t="shared" si="2"/>
        <v>4.8277500000000009</v>
      </c>
      <c r="L15" s="10">
        <v>4.17</v>
      </c>
      <c r="M15" s="10">
        <v>33.409999999999997</v>
      </c>
      <c r="N15" s="13">
        <f t="shared" si="3"/>
        <v>2.4083358275965283</v>
      </c>
    </row>
    <row r="16" spans="1:15" ht="43.2" x14ac:dyDescent="0.3">
      <c r="A16" s="11" t="s">
        <v>359</v>
      </c>
      <c r="B16" s="10" t="s">
        <v>363</v>
      </c>
      <c r="C16" s="10" t="s">
        <v>263</v>
      </c>
      <c r="D16" s="10" t="s">
        <v>366</v>
      </c>
      <c r="E16" s="10" t="s">
        <v>367</v>
      </c>
      <c r="G16" s="10" t="s">
        <v>370</v>
      </c>
      <c r="I16" s="10">
        <f>69+39</f>
        <v>108</v>
      </c>
      <c r="J16" s="12">
        <f t="shared" si="4"/>
        <v>0.8478</v>
      </c>
      <c r="K16" s="12">
        <f t="shared" si="2"/>
        <v>2.5434000000000001</v>
      </c>
      <c r="L16" s="10">
        <v>3.85</v>
      </c>
      <c r="M16" s="10">
        <v>30.88</v>
      </c>
      <c r="N16" s="13">
        <f t="shared" si="3"/>
        <v>1.3727331606217616</v>
      </c>
    </row>
    <row r="17" spans="1:14" ht="43.2" x14ac:dyDescent="0.3">
      <c r="A17" s="11" t="s">
        <v>360</v>
      </c>
      <c r="B17" s="10" t="s">
        <v>364</v>
      </c>
      <c r="C17" s="10" t="s">
        <v>365</v>
      </c>
      <c r="D17" s="10" t="s">
        <v>366</v>
      </c>
      <c r="E17" s="10" t="s">
        <v>372</v>
      </c>
      <c r="G17" s="10" t="s">
        <v>371</v>
      </c>
      <c r="I17" s="10">
        <f>144+62</f>
        <v>206</v>
      </c>
      <c r="J17" s="12">
        <f t="shared" si="4"/>
        <v>1.6171000000000004</v>
      </c>
      <c r="K17" s="12">
        <f t="shared" si="2"/>
        <v>4.8513000000000011</v>
      </c>
      <c r="L17" s="10">
        <v>3.71</v>
      </c>
      <c r="M17" s="10">
        <v>29.16</v>
      </c>
      <c r="N17" s="13">
        <f t="shared" si="3"/>
        <v>2.7728052126200278</v>
      </c>
    </row>
    <row r="18" spans="1:14" ht="43.2" x14ac:dyDescent="0.3">
      <c r="A18" s="11" t="s">
        <v>14</v>
      </c>
      <c r="B18" s="10" t="s">
        <v>373</v>
      </c>
      <c r="C18" s="10" t="s">
        <v>374</v>
      </c>
      <c r="D18" s="10" t="s">
        <v>402</v>
      </c>
      <c r="E18" s="10" t="s">
        <v>367</v>
      </c>
      <c r="G18" s="10" t="s">
        <v>401</v>
      </c>
      <c r="I18" s="10">
        <v>159</v>
      </c>
      <c r="J18" s="12">
        <f t="shared" si="4"/>
        <v>1.2481500000000003</v>
      </c>
      <c r="K18" s="12">
        <f t="shared" si="2"/>
        <v>3.7444500000000009</v>
      </c>
      <c r="L18" s="10">
        <v>3.18</v>
      </c>
      <c r="M18" s="10">
        <v>56.23</v>
      </c>
      <c r="N18" s="13">
        <f t="shared" si="3"/>
        <v>1.1098612840120936</v>
      </c>
    </row>
    <row r="19" spans="1:14" ht="43.2" customHeight="1" x14ac:dyDescent="0.3">
      <c r="A19" s="11" t="s">
        <v>375</v>
      </c>
      <c r="B19" s="20" t="s">
        <v>376</v>
      </c>
      <c r="C19" s="21"/>
      <c r="D19" s="21"/>
      <c r="E19" s="21"/>
      <c r="F19" s="21"/>
      <c r="G19" s="21"/>
      <c r="H19" s="22"/>
      <c r="I19" s="10">
        <f>SUM(I20:I23)</f>
        <v>1532</v>
      </c>
      <c r="J19" s="12">
        <f>SUM(J20:J23)</f>
        <v>11.466652000000002</v>
      </c>
      <c r="K19" s="12">
        <f>SUM(K20:K23)</f>
        <v>34.399956000000003</v>
      </c>
      <c r="L19" s="12"/>
      <c r="M19" s="12"/>
      <c r="N19" s="12">
        <f>SUM(N20:N23)</f>
        <v>26.296992117941947</v>
      </c>
    </row>
    <row r="20" spans="1:14" ht="72" x14ac:dyDescent="0.3">
      <c r="A20" s="11" t="s">
        <v>378</v>
      </c>
      <c r="B20" s="10" t="s">
        <v>408</v>
      </c>
      <c r="C20" s="10" t="s">
        <v>383</v>
      </c>
      <c r="D20" s="10" t="s">
        <v>377</v>
      </c>
      <c r="E20" s="10" t="s">
        <v>412</v>
      </c>
      <c r="G20" s="10" t="s">
        <v>403</v>
      </c>
      <c r="H20" s="10" t="s">
        <v>382</v>
      </c>
      <c r="I20" s="10">
        <f>177+255+77</f>
        <v>509</v>
      </c>
      <c r="J20" s="12">
        <f t="shared" si="4"/>
        <v>3.9956500000000008</v>
      </c>
      <c r="K20" s="12">
        <f t="shared" ref="K20" si="6">3*J20</f>
        <v>11.986950000000002</v>
      </c>
      <c r="L20" s="10">
        <v>3.21</v>
      </c>
      <c r="M20" s="10">
        <v>25.7</v>
      </c>
      <c r="N20" s="13">
        <f t="shared" ref="N20" si="7">K20/(M20*60*0.001)</f>
        <v>7.7736381322957211</v>
      </c>
    </row>
    <row r="21" spans="1:14" ht="43.2" x14ac:dyDescent="0.3">
      <c r="A21" s="11" t="s">
        <v>379</v>
      </c>
      <c r="B21" s="10" t="s">
        <v>409</v>
      </c>
      <c r="C21" s="10" t="s">
        <v>407</v>
      </c>
      <c r="D21" s="10" t="s">
        <v>377</v>
      </c>
      <c r="E21" s="10" t="s">
        <v>412</v>
      </c>
      <c r="G21" s="10" t="s">
        <v>404</v>
      </c>
      <c r="I21" s="10">
        <f>117+88+46</f>
        <v>251</v>
      </c>
      <c r="J21" s="12">
        <f t="shared" si="4"/>
        <v>1.9703500000000003</v>
      </c>
      <c r="K21" s="12">
        <f t="shared" ref="K21:K23" si="8">3*J21</f>
        <v>5.9110500000000012</v>
      </c>
      <c r="L21" s="10">
        <v>2.58</v>
      </c>
      <c r="M21" s="10">
        <v>20.7</v>
      </c>
      <c r="N21" s="13">
        <f t="shared" ref="N21:N23" si="9">K21/(M21*60*0.001)</f>
        <v>4.7592995169082135</v>
      </c>
    </row>
    <row r="22" spans="1:14" ht="57.6" x14ac:dyDescent="0.3">
      <c r="A22" s="11" t="s">
        <v>380</v>
      </c>
      <c r="B22" s="10" t="s">
        <v>410</v>
      </c>
      <c r="C22" s="10" t="s">
        <v>383</v>
      </c>
      <c r="D22" s="10" t="s">
        <v>377</v>
      </c>
      <c r="E22" s="10" t="s">
        <v>405</v>
      </c>
      <c r="G22" s="10" t="s">
        <v>406</v>
      </c>
      <c r="I22" s="10">
        <f>101+99+37</f>
        <v>237</v>
      </c>
      <c r="J22" s="12">
        <f t="shared" si="4"/>
        <v>1.8604500000000002</v>
      </c>
      <c r="K22" s="12">
        <f t="shared" si="8"/>
        <v>5.5813500000000005</v>
      </c>
      <c r="L22" s="10">
        <v>3.53</v>
      </c>
      <c r="M22" s="10">
        <v>28.26</v>
      </c>
      <c r="N22" s="13">
        <f t="shared" si="9"/>
        <v>3.2916666666666665</v>
      </c>
    </row>
    <row r="23" spans="1:14" ht="57.6" x14ac:dyDescent="0.3">
      <c r="A23" s="11" t="s">
        <v>381</v>
      </c>
      <c r="B23" s="10" t="s">
        <v>411</v>
      </c>
      <c r="C23" s="10" t="s">
        <v>407</v>
      </c>
      <c r="D23" s="10" t="s">
        <v>377</v>
      </c>
      <c r="E23" s="10" t="s">
        <v>405</v>
      </c>
      <c r="G23" s="10" t="s">
        <v>404</v>
      </c>
      <c r="I23" s="10">
        <f>249+88+198</f>
        <v>535</v>
      </c>
      <c r="J23" s="12">
        <f>(249+88)*3.14*0.1*0.1/4+198*0.08*0.08*3.14*0.25</f>
        <v>3.6402020000000004</v>
      </c>
      <c r="K23" s="12">
        <f t="shared" si="8"/>
        <v>10.920606000000001</v>
      </c>
      <c r="L23" s="10">
        <v>2.17</v>
      </c>
      <c r="M23" s="10">
        <v>17.38</v>
      </c>
      <c r="N23" s="13">
        <f t="shared" si="9"/>
        <v>10.472387802071347</v>
      </c>
    </row>
    <row r="24" spans="1:14" x14ac:dyDescent="0.3">
      <c r="A24" s="11" t="s">
        <v>97</v>
      </c>
      <c r="B24" s="20" t="s">
        <v>413</v>
      </c>
      <c r="C24" s="21"/>
      <c r="D24" s="21"/>
      <c r="E24" s="21"/>
      <c r="F24" s="21"/>
      <c r="G24" s="21"/>
      <c r="H24" s="22"/>
      <c r="I24" s="10">
        <f>SUM(I25:I36)</f>
        <v>4644</v>
      </c>
      <c r="J24" s="13">
        <f t="shared" ref="J24:N24" si="10">SUM(J25:J36)</f>
        <v>48.997737500000014</v>
      </c>
      <c r="K24" s="13">
        <f t="shared" si="10"/>
        <v>146.9932125</v>
      </c>
      <c r="L24" s="13"/>
      <c r="M24" s="13"/>
      <c r="N24" s="13">
        <f t="shared" si="10"/>
        <v>78.006704851149507</v>
      </c>
    </row>
    <row r="25" spans="1:14" ht="86.4" x14ac:dyDescent="0.3">
      <c r="A25" s="11" t="s">
        <v>414</v>
      </c>
      <c r="B25" s="10" t="s">
        <v>420</v>
      </c>
      <c r="C25" s="10" t="s">
        <v>424</v>
      </c>
      <c r="D25" s="10" t="s">
        <v>418</v>
      </c>
      <c r="E25" s="10" t="s">
        <v>429</v>
      </c>
      <c r="G25" s="10" t="s">
        <v>425</v>
      </c>
      <c r="I25" s="10">
        <f>111+73+37+101+113+325+184</f>
        <v>944</v>
      </c>
      <c r="J25" s="12">
        <f>435*3.14*0.25*0.15*0.15+(325+184)*3.14*0.25*0.1*0.1</f>
        <v>11.678837500000002</v>
      </c>
      <c r="K25" s="12">
        <f t="shared" ref="K25:K26" si="11">3*J25</f>
        <v>35.036512500000008</v>
      </c>
      <c r="L25" s="10" t="s">
        <v>462</v>
      </c>
      <c r="M25" s="10">
        <v>27.64</v>
      </c>
      <c r="N25" s="13">
        <f t="shared" ref="N25:N26" si="12">K25/(M25*60*0.001)</f>
        <v>21.126695911722145</v>
      </c>
    </row>
    <row r="26" spans="1:14" ht="86.4" x14ac:dyDescent="0.3">
      <c r="A26" s="11" t="s">
        <v>415</v>
      </c>
      <c r="B26" s="10" t="s">
        <v>421</v>
      </c>
      <c r="C26" s="10" t="s">
        <v>383</v>
      </c>
      <c r="D26" s="10" t="s">
        <v>418</v>
      </c>
      <c r="E26" s="10" t="s">
        <v>429</v>
      </c>
      <c r="G26" s="10" t="s">
        <v>426</v>
      </c>
      <c r="I26" s="10">
        <v>272</v>
      </c>
      <c r="J26" s="12">
        <f>I26*3.14*0.1*0.1/4</f>
        <v>2.1352000000000007</v>
      </c>
      <c r="K26" s="12">
        <f t="shared" si="11"/>
        <v>6.4056000000000015</v>
      </c>
      <c r="L26" s="10">
        <v>4.0999999999999996</v>
      </c>
      <c r="M26" s="10">
        <v>32.840000000000003</v>
      </c>
      <c r="N26" s="13">
        <f t="shared" si="12"/>
        <v>3.2509135200974426</v>
      </c>
    </row>
    <row r="27" spans="1:14" ht="86.4" x14ac:dyDescent="0.3">
      <c r="A27" s="11" t="s">
        <v>416</v>
      </c>
      <c r="B27" s="10" t="s">
        <v>422</v>
      </c>
      <c r="C27" s="10" t="s">
        <v>383</v>
      </c>
      <c r="D27" s="10" t="s">
        <v>418</v>
      </c>
      <c r="E27" s="10" t="s">
        <v>429</v>
      </c>
      <c r="G27" s="10" t="s">
        <v>427</v>
      </c>
      <c r="I27" s="10">
        <v>265</v>
      </c>
      <c r="J27" s="12">
        <f t="shared" ref="J27:J41" si="13">I27*3.14*0.1*0.1/4</f>
        <v>2.0802500000000004</v>
      </c>
      <c r="K27" s="12">
        <f t="shared" ref="K27:K28" si="14">3*J27</f>
        <v>6.2407500000000011</v>
      </c>
      <c r="L27" s="10">
        <v>4.1500000000000004</v>
      </c>
      <c r="M27" s="10">
        <v>33.26</v>
      </c>
      <c r="N27" s="13">
        <f t="shared" ref="N27:N28" si="15">K27/(M27*60*0.001)</f>
        <v>3.1272549609140112</v>
      </c>
    </row>
    <row r="28" spans="1:14" ht="86.4" x14ac:dyDescent="0.3">
      <c r="A28" s="11" t="s">
        <v>417</v>
      </c>
      <c r="B28" s="10" t="s">
        <v>419</v>
      </c>
      <c r="C28" s="10" t="s">
        <v>383</v>
      </c>
      <c r="D28" s="10" t="s">
        <v>418</v>
      </c>
      <c r="E28" s="10" t="s">
        <v>429</v>
      </c>
      <c r="G28" s="10" t="s">
        <v>428</v>
      </c>
      <c r="I28" s="10">
        <v>155</v>
      </c>
      <c r="J28" s="12">
        <f t="shared" si="13"/>
        <v>1.2167500000000002</v>
      </c>
      <c r="K28" s="12">
        <f t="shared" si="14"/>
        <v>3.6502500000000007</v>
      </c>
      <c r="L28" s="12">
        <v>4.91</v>
      </c>
      <c r="M28" s="12">
        <v>39.31</v>
      </c>
      <c r="N28" s="12">
        <f t="shared" si="15"/>
        <v>1.5476341897735946</v>
      </c>
    </row>
    <row r="29" spans="1:14" ht="72" x14ac:dyDescent="0.3">
      <c r="A29" s="11" t="s">
        <v>430</v>
      </c>
      <c r="B29" s="10" t="s">
        <v>432</v>
      </c>
      <c r="C29" s="10" t="s">
        <v>424</v>
      </c>
      <c r="D29" s="10" t="s">
        <v>434</v>
      </c>
      <c r="E29" s="10" t="s">
        <v>463</v>
      </c>
      <c r="G29" s="10" t="s">
        <v>435</v>
      </c>
      <c r="I29" s="10">
        <f>106+100+108+114</f>
        <v>428</v>
      </c>
      <c r="J29" s="12">
        <f>428*3.14*0.25*0.15*0.15+(184)*3.14*0.25*0.1*0.1</f>
        <v>9.0039499999999997</v>
      </c>
      <c r="K29" s="12">
        <f t="shared" ref="K29:K31" si="16">3*J29</f>
        <v>27.011849999999999</v>
      </c>
      <c r="L29" s="12">
        <v>2.23</v>
      </c>
      <c r="M29" s="12">
        <v>39.5</v>
      </c>
      <c r="N29" s="12">
        <f t="shared" ref="N29:N31" si="17">K29/(M29*60*0.001)</f>
        <v>11.397405063291139</v>
      </c>
    </row>
    <row r="30" spans="1:14" ht="72" x14ac:dyDescent="0.3">
      <c r="A30" s="11" t="s">
        <v>431</v>
      </c>
      <c r="B30" s="10" t="s">
        <v>433</v>
      </c>
      <c r="C30" s="10" t="s">
        <v>383</v>
      </c>
      <c r="D30" s="10" t="s">
        <v>434</v>
      </c>
      <c r="E30" s="10" t="s">
        <v>463</v>
      </c>
      <c r="G30" s="10" t="s">
        <v>428</v>
      </c>
      <c r="I30" s="10">
        <v>154</v>
      </c>
      <c r="J30" s="12">
        <f t="shared" si="13"/>
        <v>1.2089000000000001</v>
      </c>
      <c r="K30" s="12">
        <f t="shared" si="16"/>
        <v>3.6267000000000005</v>
      </c>
      <c r="L30" s="12">
        <v>4.76</v>
      </c>
      <c r="M30" s="12">
        <v>38.14</v>
      </c>
      <c r="N30" s="12">
        <f t="shared" si="17"/>
        <v>1.5848190875721029</v>
      </c>
    </row>
    <row r="31" spans="1:14" ht="43.2" x14ac:dyDescent="0.3">
      <c r="A31" s="11" t="s">
        <v>436</v>
      </c>
      <c r="B31" s="10" t="s">
        <v>438</v>
      </c>
      <c r="C31" s="10" t="s">
        <v>461</v>
      </c>
      <c r="D31" s="10" t="s">
        <v>440</v>
      </c>
      <c r="E31" s="10" t="s">
        <v>442</v>
      </c>
      <c r="G31" s="10" t="s">
        <v>444</v>
      </c>
      <c r="I31" s="10">
        <v>221</v>
      </c>
      <c r="J31" s="12">
        <f t="shared" si="13"/>
        <v>1.7348500000000002</v>
      </c>
      <c r="K31" s="12">
        <f t="shared" si="16"/>
        <v>5.2045500000000011</v>
      </c>
      <c r="L31" s="12">
        <v>5.0599999999999996</v>
      </c>
      <c r="M31" s="12">
        <v>40.53</v>
      </c>
      <c r="N31" s="12">
        <f t="shared" si="17"/>
        <v>2.1402047865778435</v>
      </c>
    </row>
    <row r="32" spans="1:14" ht="43.2" x14ac:dyDescent="0.3">
      <c r="A32" s="11" t="s">
        <v>437</v>
      </c>
      <c r="B32" s="10" t="s">
        <v>439</v>
      </c>
      <c r="C32" s="10" t="s">
        <v>461</v>
      </c>
      <c r="D32" s="10" t="s">
        <v>441</v>
      </c>
      <c r="E32" s="10" t="s">
        <v>443</v>
      </c>
      <c r="G32" s="10" t="s">
        <v>444</v>
      </c>
      <c r="I32" s="10">
        <f>105+22</f>
        <v>127</v>
      </c>
      <c r="J32" s="12">
        <f t="shared" si="13"/>
        <v>0.99695000000000022</v>
      </c>
      <c r="K32" s="12">
        <f t="shared" ref="K32:K36" si="18">3*J32</f>
        <v>2.9908500000000009</v>
      </c>
      <c r="L32" s="12">
        <v>6.42</v>
      </c>
      <c r="M32" s="12">
        <v>51.46</v>
      </c>
      <c r="N32" s="12">
        <f t="shared" ref="N32:N36" si="19">K32/(M32*60*0.001)</f>
        <v>0.96866498251068811</v>
      </c>
    </row>
    <row r="33" spans="1:14" ht="100.8" x14ac:dyDescent="0.3">
      <c r="A33" s="11" t="s">
        <v>445</v>
      </c>
      <c r="B33" s="10" t="s">
        <v>446</v>
      </c>
      <c r="C33" s="10" t="s">
        <v>383</v>
      </c>
      <c r="D33" s="10" t="s">
        <v>440</v>
      </c>
      <c r="E33" s="10" t="s">
        <v>447</v>
      </c>
      <c r="G33" s="10" t="s">
        <v>435</v>
      </c>
      <c r="I33" s="10">
        <f>224+106+112+45</f>
        <v>487</v>
      </c>
      <c r="J33" s="12">
        <f t="shared" si="13"/>
        <v>3.8229500000000005</v>
      </c>
      <c r="K33" s="12">
        <f t="shared" si="18"/>
        <v>11.468850000000002</v>
      </c>
      <c r="L33" s="12">
        <v>3.46</v>
      </c>
      <c r="M33" s="12">
        <v>27.74</v>
      </c>
      <c r="N33" s="12">
        <f t="shared" si="19"/>
        <v>6.8906813266041835</v>
      </c>
    </row>
    <row r="34" spans="1:14" ht="100.8" x14ac:dyDescent="0.3">
      <c r="A34" s="11" t="s">
        <v>448</v>
      </c>
      <c r="B34" s="10" t="s">
        <v>459</v>
      </c>
      <c r="C34" s="10" t="s">
        <v>383</v>
      </c>
      <c r="D34" s="10" t="s">
        <v>440</v>
      </c>
      <c r="E34" s="10" t="s">
        <v>458</v>
      </c>
      <c r="G34" s="10" t="s">
        <v>435</v>
      </c>
      <c r="I34" s="10">
        <f>230+112+45</f>
        <v>387</v>
      </c>
      <c r="J34" s="12">
        <f t="shared" si="13"/>
        <v>3.0379500000000004</v>
      </c>
      <c r="K34" s="12">
        <f t="shared" si="18"/>
        <v>9.1138500000000011</v>
      </c>
      <c r="L34" s="12">
        <v>3.78</v>
      </c>
      <c r="M34" s="12">
        <v>30.26</v>
      </c>
      <c r="N34" s="12">
        <f t="shared" si="19"/>
        <v>5.0197455386649041</v>
      </c>
    </row>
    <row r="35" spans="1:14" ht="72" x14ac:dyDescent="0.3">
      <c r="A35" s="11" t="s">
        <v>449</v>
      </c>
      <c r="B35" s="10" t="s">
        <v>455</v>
      </c>
      <c r="C35" s="10" t="s">
        <v>424</v>
      </c>
      <c r="D35" s="10" t="s">
        <v>456</v>
      </c>
      <c r="E35" s="10" t="s">
        <v>457</v>
      </c>
      <c r="G35" s="10" t="s">
        <v>435</v>
      </c>
      <c r="I35" s="10">
        <f>268+160+148+45</f>
        <v>621</v>
      </c>
      <c r="J35" s="12">
        <f>268*3.14*0.25*0.15*0.15+(160+148+45)*3.14*0.25*0.1*0.1</f>
        <v>7.5045999999999999</v>
      </c>
      <c r="K35" s="12">
        <f t="shared" si="18"/>
        <v>22.5138</v>
      </c>
      <c r="L35" s="12">
        <v>1.78</v>
      </c>
      <c r="M35" s="12">
        <v>31.37</v>
      </c>
      <c r="N35" s="12">
        <f t="shared" si="19"/>
        <v>11.961428116034426</v>
      </c>
    </row>
    <row r="36" spans="1:14" ht="86.4" x14ac:dyDescent="0.3">
      <c r="A36" s="11" t="s">
        <v>450</v>
      </c>
      <c r="B36" s="10" t="s">
        <v>451</v>
      </c>
      <c r="C36" s="10" t="s">
        <v>383</v>
      </c>
      <c r="D36" s="10" t="s">
        <v>452</v>
      </c>
      <c r="E36" s="10" t="s">
        <v>453</v>
      </c>
      <c r="G36" s="10" t="s">
        <v>454</v>
      </c>
      <c r="I36" s="10">
        <f>45+148+390</f>
        <v>583</v>
      </c>
      <c r="J36" s="12">
        <f t="shared" si="13"/>
        <v>4.5765500000000001</v>
      </c>
      <c r="K36" s="12">
        <f t="shared" si="18"/>
        <v>13.729649999999999</v>
      </c>
      <c r="L36" s="12">
        <v>3.18</v>
      </c>
      <c r="M36" s="12">
        <v>25.45</v>
      </c>
      <c r="N36" s="12">
        <f t="shared" si="19"/>
        <v>8.991257367387032</v>
      </c>
    </row>
    <row r="37" spans="1:14" x14ac:dyDescent="0.3">
      <c r="A37" s="11" t="s">
        <v>99</v>
      </c>
      <c r="B37" s="20" t="s">
        <v>460</v>
      </c>
      <c r="C37" s="21"/>
      <c r="D37" s="21"/>
      <c r="E37" s="21"/>
      <c r="F37" s="21"/>
      <c r="G37" s="21"/>
      <c r="H37" s="22"/>
      <c r="I37" s="13">
        <f>SUM(I38:I44)</f>
        <v>2524</v>
      </c>
      <c r="J37" s="13">
        <f t="shared" ref="J37:N37" si="20">SUM(J38:J44)</f>
        <v>24.992751500000001</v>
      </c>
      <c r="K37" s="13">
        <f t="shared" si="20"/>
        <v>74.978254499999991</v>
      </c>
      <c r="L37" s="13"/>
      <c r="M37" s="13"/>
      <c r="N37" s="13">
        <f t="shared" si="20"/>
        <v>41.604245003712663</v>
      </c>
    </row>
    <row r="38" spans="1:14" ht="86.4" x14ac:dyDescent="0.3">
      <c r="A38" s="11" t="s">
        <v>464</v>
      </c>
      <c r="B38" s="10" t="s">
        <v>467</v>
      </c>
      <c r="C38" s="10" t="s">
        <v>423</v>
      </c>
      <c r="D38" s="10" t="s">
        <v>471</v>
      </c>
      <c r="E38" s="10" t="s">
        <v>552</v>
      </c>
      <c r="G38" s="10" t="s">
        <v>480</v>
      </c>
      <c r="I38" s="10">
        <f>102+102+100</f>
        <v>304</v>
      </c>
      <c r="J38" s="12">
        <f>I38*3.14*0.15*0.15/4</f>
        <v>5.3693999999999997</v>
      </c>
      <c r="K38" s="12">
        <f t="shared" ref="K38:K39" si="21">3*J38</f>
        <v>16.1082</v>
      </c>
      <c r="L38" s="12">
        <v>2.82</v>
      </c>
      <c r="M38" s="12">
        <v>49.82</v>
      </c>
      <c r="N38" s="12">
        <f t="shared" ref="N38:N39" si="22">K38/(M38*60*0.001)</f>
        <v>5.3887996788438377</v>
      </c>
    </row>
    <row r="39" spans="1:14" ht="86.4" x14ac:dyDescent="0.3">
      <c r="A39" s="11" t="s">
        <v>465</v>
      </c>
      <c r="B39" s="10" t="s">
        <v>468</v>
      </c>
      <c r="C39" s="10" t="s">
        <v>469</v>
      </c>
      <c r="D39" s="10" t="s">
        <v>470</v>
      </c>
      <c r="E39" s="10" t="s">
        <v>552</v>
      </c>
      <c r="G39" s="10" t="s">
        <v>481</v>
      </c>
      <c r="I39" s="10">
        <v>274</v>
      </c>
      <c r="J39" s="12">
        <f t="shared" si="13"/>
        <v>2.1509</v>
      </c>
      <c r="K39" s="12">
        <f t="shared" si="21"/>
        <v>6.4527000000000001</v>
      </c>
      <c r="L39" s="12">
        <v>3.74</v>
      </c>
      <c r="M39" s="12">
        <v>30</v>
      </c>
      <c r="N39" s="12">
        <f t="shared" si="22"/>
        <v>3.5848333333333331</v>
      </c>
    </row>
    <row r="40" spans="1:14" ht="100.8" x14ac:dyDescent="0.3">
      <c r="A40" s="17" t="s">
        <v>466</v>
      </c>
      <c r="B40" s="10" t="s">
        <v>475</v>
      </c>
      <c r="C40" s="10" t="s">
        <v>423</v>
      </c>
      <c r="D40" s="10" t="s">
        <v>474</v>
      </c>
      <c r="E40" s="10" t="s">
        <v>477</v>
      </c>
      <c r="G40" s="10" t="s">
        <v>478</v>
      </c>
      <c r="I40" s="10">
        <f>118+110+107</f>
        <v>335</v>
      </c>
      <c r="J40" s="12">
        <f>I40*3.14*0.15*0.15/4</f>
        <v>5.9169374999999995</v>
      </c>
      <c r="K40" s="12">
        <f t="shared" ref="K40:K41" si="23">3*J40</f>
        <v>17.750812499999999</v>
      </c>
      <c r="L40" s="12">
        <v>2.69</v>
      </c>
      <c r="M40" s="12">
        <v>47.54</v>
      </c>
      <c r="N40" s="12">
        <f t="shared" ref="N40:N41" si="24">K40/(M40*60*0.001)</f>
        <v>6.2231147454774911</v>
      </c>
    </row>
    <row r="41" spans="1:14" ht="100.8" x14ac:dyDescent="0.3">
      <c r="A41" s="11" t="s">
        <v>472</v>
      </c>
      <c r="B41" s="10" t="s">
        <v>476</v>
      </c>
      <c r="C41" s="10" t="s">
        <v>469</v>
      </c>
      <c r="D41" s="10" t="s">
        <v>473</v>
      </c>
      <c r="E41" s="10" t="s">
        <v>477</v>
      </c>
      <c r="G41" s="10" t="s">
        <v>479</v>
      </c>
      <c r="I41" s="10">
        <v>243</v>
      </c>
      <c r="J41" s="12">
        <f t="shared" si="13"/>
        <v>1.9075500000000003</v>
      </c>
      <c r="K41" s="12">
        <f t="shared" si="23"/>
        <v>5.7226500000000007</v>
      </c>
      <c r="L41" s="12">
        <v>3.88</v>
      </c>
      <c r="M41" s="12">
        <v>31.06</v>
      </c>
      <c r="N41" s="12">
        <f t="shared" si="24"/>
        <v>3.0707501609787511</v>
      </c>
    </row>
    <row r="42" spans="1:14" ht="43.2" x14ac:dyDescent="0.3">
      <c r="A42" s="11" t="s">
        <v>482</v>
      </c>
      <c r="B42" s="10" t="s">
        <v>486</v>
      </c>
      <c r="C42" s="10" t="s">
        <v>553</v>
      </c>
      <c r="D42" s="10" t="s">
        <v>487</v>
      </c>
      <c r="E42" s="10" t="s">
        <v>488</v>
      </c>
      <c r="G42" s="10" t="s">
        <v>479</v>
      </c>
      <c r="I42" s="10">
        <f>121+115+105</f>
        <v>341</v>
      </c>
      <c r="J42" s="12">
        <f>121*0.25*3.14*0.08*0.08+(105+115)*0.25*3.14*0.1*0.1</f>
        <v>2.3349040000000003</v>
      </c>
      <c r="K42" s="12">
        <f t="shared" ref="K42" si="25">3*J42</f>
        <v>7.0047120000000014</v>
      </c>
      <c r="L42" s="12">
        <v>2.94</v>
      </c>
      <c r="M42" s="12">
        <v>23.55</v>
      </c>
      <c r="N42" s="12">
        <f t="shared" ref="N42" si="26">K42/(M42*60*0.001)</f>
        <v>4.9573333333333345</v>
      </c>
    </row>
    <row r="43" spans="1:14" ht="57.6" x14ac:dyDescent="0.3">
      <c r="A43" s="11" t="s">
        <v>483</v>
      </c>
      <c r="B43" s="10" t="s">
        <v>489</v>
      </c>
      <c r="C43" s="10" t="s">
        <v>553</v>
      </c>
      <c r="D43" s="10" t="s">
        <v>490</v>
      </c>
      <c r="E43" s="10" t="s">
        <v>554</v>
      </c>
      <c r="G43" s="10" t="s">
        <v>491</v>
      </c>
      <c r="I43" s="10">
        <f>242+265</f>
        <v>507</v>
      </c>
      <c r="J43" s="12">
        <f>265*0.25*3.14*0.08*0.08+(242)*0.25*3.14*0.1*0.1</f>
        <v>3.2310600000000003</v>
      </c>
      <c r="K43" s="12">
        <f t="shared" ref="K43" si="27">3*J43</f>
        <v>9.6931800000000017</v>
      </c>
      <c r="L43" s="12">
        <v>1.98</v>
      </c>
      <c r="M43" s="12">
        <v>15.84</v>
      </c>
      <c r="N43" s="12">
        <f t="shared" ref="N43" si="28">K43/(M43*60*0.001)</f>
        <v>10.199053030303032</v>
      </c>
    </row>
    <row r="44" spans="1:14" ht="57.6" x14ac:dyDescent="0.3">
      <c r="A44" s="11" t="s">
        <v>484</v>
      </c>
      <c r="B44" s="10" t="s">
        <v>492</v>
      </c>
      <c r="C44" s="10" t="s">
        <v>383</v>
      </c>
      <c r="D44" s="10" t="s">
        <v>493</v>
      </c>
      <c r="E44" s="10" t="s">
        <v>555</v>
      </c>
      <c r="G44" s="10" t="s">
        <v>494</v>
      </c>
      <c r="I44" s="10">
        <f>278+242</f>
        <v>520</v>
      </c>
      <c r="J44" s="12">
        <f t="shared" ref="J44" si="29">I44*3.14*0.1*0.1/4</f>
        <v>4.0819999999999999</v>
      </c>
      <c r="K44" s="12">
        <f t="shared" ref="K44" si="30">3*J44</f>
        <v>12.245999999999999</v>
      </c>
      <c r="L44" s="12">
        <v>3.11</v>
      </c>
      <c r="M44" s="12">
        <v>24.95</v>
      </c>
      <c r="N44" s="12">
        <f t="shared" ref="N44" si="31">K44/(M44*60*0.001)</f>
        <v>8.1803607214428844</v>
      </c>
    </row>
    <row r="45" spans="1:14" x14ac:dyDescent="0.3">
      <c r="A45" s="11" t="s">
        <v>101</v>
      </c>
      <c r="B45" s="20" t="s">
        <v>485</v>
      </c>
      <c r="C45" s="21"/>
      <c r="D45" s="21"/>
      <c r="E45" s="21"/>
      <c r="F45" s="21"/>
      <c r="G45" s="21"/>
      <c r="H45" s="22"/>
      <c r="I45" s="10">
        <f>SUM(I46:I48)</f>
        <v>2014</v>
      </c>
      <c r="J45" s="13">
        <f t="shared" ref="J45:N45" si="32">SUM(J46:J48)</f>
        <v>15.809900000000004</v>
      </c>
      <c r="K45" s="13">
        <f t="shared" si="32"/>
        <v>47.429700000000011</v>
      </c>
      <c r="L45" s="13"/>
      <c r="M45" s="13"/>
      <c r="N45" s="13">
        <f t="shared" si="32"/>
        <v>42.478864517556694</v>
      </c>
    </row>
    <row r="46" spans="1:14" ht="115.2" x14ac:dyDescent="0.3">
      <c r="A46" s="11" t="s">
        <v>495</v>
      </c>
      <c r="B46" s="10" t="s">
        <v>497</v>
      </c>
      <c r="C46" s="10" t="s">
        <v>383</v>
      </c>
      <c r="D46" s="10" t="s">
        <v>498</v>
      </c>
      <c r="E46" s="10" t="s">
        <v>499</v>
      </c>
      <c r="G46" s="10" t="s">
        <v>500</v>
      </c>
      <c r="I46" s="10">
        <f>367+124+329</f>
        <v>820</v>
      </c>
      <c r="J46" s="12">
        <f t="shared" ref="J46" si="33">I46*3.14*0.1*0.1/4</f>
        <v>6.4370000000000012</v>
      </c>
      <c r="K46" s="12">
        <f t="shared" ref="K46" si="34">3*J46</f>
        <v>19.311000000000003</v>
      </c>
      <c r="L46" s="12">
        <v>2.56</v>
      </c>
      <c r="M46" s="12">
        <v>20.53</v>
      </c>
      <c r="N46" s="12">
        <f t="shared" ref="N46" si="35">K46/(M46*60*0.001)</f>
        <v>15.677057963955187</v>
      </c>
    </row>
    <row r="47" spans="1:14" ht="115.2" x14ac:dyDescent="0.3">
      <c r="A47" s="11" t="s">
        <v>496</v>
      </c>
      <c r="B47" s="10" t="s">
        <v>501</v>
      </c>
      <c r="C47" s="10" t="s">
        <v>383</v>
      </c>
      <c r="D47" s="10" t="s">
        <v>502</v>
      </c>
      <c r="E47" s="10" t="s">
        <v>503</v>
      </c>
      <c r="G47" s="10" t="s">
        <v>504</v>
      </c>
      <c r="I47" s="10">
        <f>360+103+387+122</f>
        <v>972</v>
      </c>
      <c r="J47" s="12">
        <f t="shared" ref="J47:J48" si="36">I47*3.14*0.1*0.1/4</f>
        <v>7.6302000000000012</v>
      </c>
      <c r="K47" s="12">
        <f t="shared" ref="K47:K48" si="37">3*J47</f>
        <v>22.890600000000003</v>
      </c>
      <c r="L47" s="12">
        <v>2.06</v>
      </c>
      <c r="M47" s="12">
        <v>16.48</v>
      </c>
      <c r="N47" s="12">
        <f t="shared" ref="N47:N48" si="38">K47/(M47*60*0.001)</f>
        <v>23.149878640776699</v>
      </c>
    </row>
    <row r="48" spans="1:14" ht="86.4" x14ac:dyDescent="0.3">
      <c r="A48" s="11" t="s">
        <v>505</v>
      </c>
      <c r="B48" s="10" t="s">
        <v>506</v>
      </c>
      <c r="C48" s="10" t="s">
        <v>383</v>
      </c>
      <c r="D48" s="10" t="s">
        <v>507</v>
      </c>
      <c r="E48" s="10" t="s">
        <v>508</v>
      </c>
      <c r="G48" s="10" t="s">
        <v>509</v>
      </c>
      <c r="I48" s="10">
        <f>100+122</f>
        <v>222</v>
      </c>
      <c r="J48" s="12">
        <f t="shared" si="36"/>
        <v>1.7427000000000004</v>
      </c>
      <c r="K48" s="12">
        <f t="shared" si="37"/>
        <v>5.2281000000000013</v>
      </c>
      <c r="L48" s="12" t="s">
        <v>556</v>
      </c>
      <c r="M48" s="12">
        <v>23.86</v>
      </c>
      <c r="N48" s="12">
        <f t="shared" si="38"/>
        <v>3.6519279128248123</v>
      </c>
    </row>
    <row r="49" spans="1:14" x14ac:dyDescent="0.3">
      <c r="A49" s="10" t="s">
        <v>510</v>
      </c>
      <c r="B49" s="20" t="s">
        <v>511</v>
      </c>
      <c r="C49" s="21"/>
      <c r="D49" s="21"/>
      <c r="E49" s="21"/>
      <c r="F49" s="21"/>
      <c r="G49" s="21"/>
      <c r="H49" s="22"/>
      <c r="I49" s="10">
        <f>SUM(I50:I55)</f>
        <v>3675</v>
      </c>
      <c r="J49" s="13">
        <f>SUM(J50:J55)</f>
        <v>28.848750000000003</v>
      </c>
      <c r="K49" s="13">
        <f>SUM(K50:K55)</f>
        <v>86.546250000000001</v>
      </c>
      <c r="L49" s="13"/>
      <c r="M49" s="13"/>
      <c r="N49" s="13">
        <f>SUM(N50:N55)</f>
        <v>73.157842278219292</v>
      </c>
    </row>
    <row r="50" spans="1:14" ht="129.6" x14ac:dyDescent="0.3">
      <c r="A50" s="11" t="s">
        <v>513</v>
      </c>
      <c r="B50" s="10" t="s">
        <v>512</v>
      </c>
      <c r="C50" s="10" t="s">
        <v>383</v>
      </c>
      <c r="D50" s="10" t="s">
        <v>514</v>
      </c>
      <c r="E50" s="10" t="s">
        <v>515</v>
      </c>
      <c r="G50" s="10" t="s">
        <v>516</v>
      </c>
      <c r="I50" s="10">
        <f>328+59+322</f>
        <v>709</v>
      </c>
      <c r="J50" s="12">
        <f t="shared" ref="J50:J51" si="39">I50*3.14*0.1*0.1/4</f>
        <v>5.5656500000000015</v>
      </c>
      <c r="K50" s="12">
        <f t="shared" ref="K50" si="40">3*J50</f>
        <v>16.696950000000005</v>
      </c>
      <c r="L50" s="12">
        <v>2.12</v>
      </c>
      <c r="M50" s="12">
        <v>16.989999999999998</v>
      </c>
      <c r="N50" s="12">
        <f t="shared" ref="N50" si="41">K50/(M50*60*0.001)</f>
        <v>16.379193643319606</v>
      </c>
    </row>
    <row r="51" spans="1:14" ht="86.4" x14ac:dyDescent="0.3">
      <c r="A51" s="11" t="s">
        <v>517</v>
      </c>
      <c r="B51" s="10" t="s">
        <v>518</v>
      </c>
      <c r="C51" s="10" t="s">
        <v>383</v>
      </c>
      <c r="D51" s="10" t="s">
        <v>519</v>
      </c>
      <c r="E51" s="10" t="s">
        <v>559</v>
      </c>
      <c r="G51" s="10" t="s">
        <v>558</v>
      </c>
      <c r="I51" s="10">
        <f>320+171+223+153</f>
        <v>867</v>
      </c>
      <c r="J51" s="12">
        <f t="shared" si="39"/>
        <v>6.8059500000000002</v>
      </c>
      <c r="K51" s="12">
        <f t="shared" ref="K51:K55" si="42">3*J51</f>
        <v>20.417850000000001</v>
      </c>
      <c r="L51" s="12">
        <v>1.99</v>
      </c>
      <c r="M51" s="12">
        <v>15.95</v>
      </c>
      <c r="N51" s="12">
        <f t="shared" ref="N51:N55" si="43">K51/(M51*60*0.001)</f>
        <v>21.335266457680252</v>
      </c>
    </row>
    <row r="52" spans="1:14" ht="43.2" x14ac:dyDescent="0.3">
      <c r="A52" s="11" t="s">
        <v>520</v>
      </c>
      <c r="B52" s="10" t="s">
        <v>521</v>
      </c>
      <c r="C52" s="10" t="s">
        <v>383</v>
      </c>
      <c r="D52" s="10" t="s">
        <v>522</v>
      </c>
      <c r="E52" s="10" t="s">
        <v>557</v>
      </c>
      <c r="G52" s="10" t="s">
        <v>516</v>
      </c>
      <c r="I52" s="10">
        <f>88+59+322</f>
        <v>469</v>
      </c>
      <c r="J52" s="12">
        <f t="shared" ref="J52:J55" si="44">I52*3.14*0.1*0.1/4</f>
        <v>3.6816500000000008</v>
      </c>
      <c r="K52" s="12">
        <f t="shared" si="42"/>
        <v>11.044950000000002</v>
      </c>
      <c r="L52" s="12">
        <v>2.99</v>
      </c>
      <c r="M52" s="12">
        <v>23.97</v>
      </c>
      <c r="N52" s="12">
        <f t="shared" si="43"/>
        <v>7.6797037964121833</v>
      </c>
    </row>
    <row r="53" spans="1:14" ht="43.2" x14ac:dyDescent="0.3">
      <c r="A53" s="18" t="s">
        <v>560</v>
      </c>
      <c r="B53" s="10" t="s">
        <v>562</v>
      </c>
      <c r="C53" s="10" t="s">
        <v>383</v>
      </c>
      <c r="D53" s="10" t="s">
        <v>563</v>
      </c>
      <c r="E53" s="10" t="s">
        <v>566</v>
      </c>
      <c r="F53" s="19"/>
      <c r="G53" s="10" t="s">
        <v>568</v>
      </c>
      <c r="I53" s="10">
        <f>149+470+80</f>
        <v>699</v>
      </c>
      <c r="J53" s="12">
        <f t="shared" ref="J53:J54" si="45">I53*3.14*0.1*0.1/4</f>
        <v>5.4871500000000006</v>
      </c>
      <c r="K53" s="12">
        <f t="shared" ref="K53:K54" si="46">3*J53</f>
        <v>16.461450000000003</v>
      </c>
      <c r="L53" s="12">
        <v>2.5499999999999998</v>
      </c>
      <c r="M53" s="12">
        <v>20.420000000000002</v>
      </c>
      <c r="N53" s="12">
        <f t="shared" ref="N53:N54" si="47">K53/(M53*60*0.001)</f>
        <v>13.435724779627817</v>
      </c>
    </row>
    <row r="54" spans="1:14" ht="28.8" x14ac:dyDescent="0.3">
      <c r="A54" s="18" t="s">
        <v>561</v>
      </c>
      <c r="B54" s="10" t="s">
        <v>565</v>
      </c>
      <c r="C54" s="10" t="s">
        <v>383</v>
      </c>
      <c r="D54" s="10" t="s">
        <v>564</v>
      </c>
      <c r="E54" s="10" t="s">
        <v>567</v>
      </c>
      <c r="F54" s="19"/>
      <c r="G54" s="10" t="s">
        <v>523</v>
      </c>
      <c r="I54" s="10">
        <f>143+333</f>
        <v>476</v>
      </c>
      <c r="J54" s="12">
        <f t="shared" si="45"/>
        <v>3.736600000000001</v>
      </c>
      <c r="K54" s="12">
        <f t="shared" si="46"/>
        <v>11.209800000000003</v>
      </c>
      <c r="L54" s="12">
        <v>2.91</v>
      </c>
      <c r="M54" s="12">
        <v>23.29</v>
      </c>
      <c r="N54" s="12">
        <f t="shared" si="47"/>
        <v>8.0218978102189809</v>
      </c>
    </row>
    <row r="55" spans="1:14" ht="28.8" x14ac:dyDescent="0.3">
      <c r="A55" s="11" t="s">
        <v>524</v>
      </c>
      <c r="B55" s="10" t="s">
        <v>525</v>
      </c>
      <c r="D55" s="10" t="s">
        <v>526</v>
      </c>
      <c r="E55" s="10" t="s">
        <v>527</v>
      </c>
      <c r="G55" s="10" t="s">
        <v>528</v>
      </c>
      <c r="I55" s="10">
        <f>304+151</f>
        <v>455</v>
      </c>
      <c r="J55" s="12">
        <f t="shared" si="44"/>
        <v>3.5717500000000002</v>
      </c>
      <c r="K55" s="12">
        <f t="shared" si="42"/>
        <v>10.715250000000001</v>
      </c>
      <c r="L55" s="12">
        <v>3.54</v>
      </c>
      <c r="M55" s="12">
        <v>28.32</v>
      </c>
      <c r="N55" s="12">
        <f t="shared" si="43"/>
        <v>6.3060557909604524</v>
      </c>
    </row>
    <row r="56" spans="1:14" x14ac:dyDescent="0.3">
      <c r="A56" s="10" t="s">
        <v>103</v>
      </c>
      <c r="B56" s="20" t="s">
        <v>529</v>
      </c>
      <c r="C56" s="21"/>
      <c r="D56" s="21"/>
      <c r="E56" s="21"/>
      <c r="F56" s="21"/>
      <c r="G56" s="21"/>
      <c r="H56" s="22"/>
      <c r="I56" s="10">
        <f>SUM(I57:I61)</f>
        <v>2458</v>
      </c>
      <c r="J56" s="13">
        <f t="shared" ref="J56:N56" si="48">SUM(J57:J61)</f>
        <v>36.070906999999998</v>
      </c>
      <c r="K56" s="13">
        <f t="shared" si="48"/>
        <v>108.212721</v>
      </c>
      <c r="L56" s="13"/>
      <c r="M56" s="13"/>
      <c r="N56" s="13">
        <f t="shared" si="48"/>
        <v>67.216044881228058</v>
      </c>
    </row>
    <row r="57" spans="1:14" ht="43.2" x14ac:dyDescent="0.3">
      <c r="A57" s="11" t="s">
        <v>530</v>
      </c>
      <c r="B57" s="10" t="s">
        <v>531</v>
      </c>
      <c r="C57" s="10" t="s">
        <v>259</v>
      </c>
      <c r="D57" s="10" t="s">
        <v>532</v>
      </c>
      <c r="E57" s="10" t="s">
        <v>569</v>
      </c>
      <c r="G57" s="10" t="s">
        <v>533</v>
      </c>
      <c r="I57" s="10">
        <f>80+233+135+73+110</f>
        <v>631</v>
      </c>
      <c r="J57" s="12">
        <f>I57*3.14*0.15*0.15/4</f>
        <v>11.145037500000001</v>
      </c>
      <c r="K57" s="12">
        <f t="shared" ref="K57" si="49">3*J57</f>
        <v>33.435112500000002</v>
      </c>
      <c r="L57" s="12">
        <v>2.4500000000000002</v>
      </c>
      <c r="M57" s="12">
        <v>43.35</v>
      </c>
      <c r="N57" s="12">
        <f t="shared" ref="N57" si="50">K57/(M57*60*0.001)</f>
        <v>12.854714532871974</v>
      </c>
    </row>
    <row r="58" spans="1:14" ht="57.6" x14ac:dyDescent="0.3">
      <c r="A58" s="11" t="s">
        <v>534</v>
      </c>
      <c r="B58" s="10" t="s">
        <v>536</v>
      </c>
      <c r="C58" s="10" t="s">
        <v>424</v>
      </c>
      <c r="D58" s="10" t="s">
        <v>538</v>
      </c>
      <c r="E58" s="10" t="s">
        <v>539</v>
      </c>
      <c r="G58" s="10" t="s">
        <v>540</v>
      </c>
      <c r="H58" s="10" t="s">
        <v>537</v>
      </c>
      <c r="I58" s="10">
        <f>35+184+135</f>
        <v>354</v>
      </c>
      <c r="J58" s="12">
        <f>(184+35)*3.14*0.25*0.15*0.15+0.25*3.14*0.1*0.1*(1351)</f>
        <v>14.473437500000003</v>
      </c>
      <c r="K58" s="12">
        <f t="shared" ref="K58:K61" si="51">3*J58</f>
        <v>43.420312500000009</v>
      </c>
      <c r="L58" s="12">
        <v>2.06</v>
      </c>
      <c r="M58" s="12">
        <v>36.32</v>
      </c>
      <c r="N58" s="12">
        <f t="shared" ref="N58:N61" si="52">K58/(M58*60*0.001)</f>
        <v>19.924886426211458</v>
      </c>
    </row>
    <row r="59" spans="1:14" ht="72" x14ac:dyDescent="0.3">
      <c r="A59" s="11" t="s">
        <v>535</v>
      </c>
      <c r="B59" s="10" t="s">
        <v>541</v>
      </c>
      <c r="C59" s="10" t="s">
        <v>383</v>
      </c>
      <c r="D59" s="10" t="s">
        <v>538</v>
      </c>
      <c r="E59" s="10" t="s">
        <v>539</v>
      </c>
      <c r="G59" s="10" t="s">
        <v>542</v>
      </c>
      <c r="I59" s="10">
        <f>283+153+91</f>
        <v>527</v>
      </c>
      <c r="J59" s="12">
        <f t="shared" ref="J59:J61" si="53">I59*3.14*0.1*0.1/4</f>
        <v>4.1369500000000006</v>
      </c>
      <c r="K59" s="12">
        <f t="shared" ref="K59" si="54">3*J59</f>
        <v>12.410850000000002</v>
      </c>
      <c r="L59" s="12">
        <v>2.33</v>
      </c>
      <c r="M59" s="12">
        <v>18.68</v>
      </c>
      <c r="N59" s="12">
        <f t="shared" si="52"/>
        <v>11.073206638115632</v>
      </c>
    </row>
    <row r="60" spans="1:14" ht="72" x14ac:dyDescent="0.3">
      <c r="A60" s="11" t="s">
        <v>543</v>
      </c>
      <c r="B60" s="10" t="s">
        <v>545</v>
      </c>
      <c r="C60" s="10" t="s">
        <v>553</v>
      </c>
      <c r="D60" s="10" t="s">
        <v>546</v>
      </c>
      <c r="E60" s="10" t="s">
        <v>547</v>
      </c>
      <c r="G60" s="10" t="s">
        <v>548</v>
      </c>
      <c r="I60" s="10">
        <f>183+393</f>
        <v>576</v>
      </c>
      <c r="J60" s="12">
        <f>183*3.14*0.1*0.1/4+393*3.14*0.08*0.08/4</f>
        <v>3.4109820000000002</v>
      </c>
      <c r="K60" s="12">
        <f t="shared" si="51"/>
        <v>10.232946</v>
      </c>
      <c r="L60" s="12">
        <v>1.17</v>
      </c>
      <c r="M60" s="12">
        <v>9.41</v>
      </c>
      <c r="N60" s="12">
        <f t="shared" si="52"/>
        <v>18.124240170031882</v>
      </c>
    </row>
    <row r="61" spans="1:14" ht="57.6" x14ac:dyDescent="0.3">
      <c r="A61" s="11" t="s">
        <v>544</v>
      </c>
      <c r="B61" s="10" t="s">
        <v>549</v>
      </c>
      <c r="C61" s="10" t="s">
        <v>383</v>
      </c>
      <c r="D61" s="10" t="s">
        <v>550</v>
      </c>
      <c r="E61" s="10" t="s">
        <v>547</v>
      </c>
      <c r="G61" s="10" t="s">
        <v>551</v>
      </c>
      <c r="I61" s="10">
        <v>370</v>
      </c>
      <c r="J61" s="12">
        <f t="shared" si="53"/>
        <v>2.9045000000000005</v>
      </c>
      <c r="K61" s="12">
        <f t="shared" si="51"/>
        <v>8.7135000000000016</v>
      </c>
      <c r="L61" s="12">
        <v>3.53</v>
      </c>
      <c r="M61" s="12">
        <v>27.72</v>
      </c>
      <c r="N61" s="12">
        <f t="shared" si="52"/>
        <v>5.2389971139971152</v>
      </c>
    </row>
  </sheetData>
  <mergeCells count="8">
    <mergeCell ref="B45:H45"/>
    <mergeCell ref="B49:H49"/>
    <mergeCell ref="B56:H56"/>
    <mergeCell ref="B7:H7"/>
    <mergeCell ref="B13:H13"/>
    <mergeCell ref="B19:H19"/>
    <mergeCell ref="B24:H24"/>
    <mergeCell ref="B37:H37"/>
  </mergeCells>
  <pageMargins left="0.7" right="0.7" top="0.75" bottom="0.75" header="0.3" footer="0.3"/>
  <pageSetup paperSize="9" orientation="portrait" horizontalDpi="4294967293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4"/>
  <sheetViews>
    <sheetView workbookViewId="0">
      <pane ySplit="1" topLeftCell="A2" activePane="bottomLeft" state="frozen"/>
      <selection pane="bottomLeft" activeCell="F15" sqref="F15"/>
    </sheetView>
  </sheetViews>
  <sheetFormatPr defaultRowHeight="14.4" x14ac:dyDescent="0.3"/>
  <cols>
    <col min="1" max="1" width="7.6640625" style="1" customWidth="1"/>
    <col min="2" max="2" width="17.88671875" style="1" customWidth="1"/>
    <col min="3" max="3" width="8.88671875" style="1"/>
    <col min="4" max="4" width="14.6640625" style="1" customWidth="1"/>
    <col min="5" max="5" width="56.5546875" style="1" customWidth="1"/>
    <col min="6" max="6" width="20.44140625" style="1" customWidth="1"/>
    <col min="7" max="7" width="22.21875" style="1" customWidth="1"/>
    <col min="8" max="8" width="26.88671875" style="1" customWidth="1"/>
    <col min="9" max="9" width="13.21875" style="1" customWidth="1"/>
    <col min="10" max="10" width="11.109375" style="1" customWidth="1"/>
    <col min="11" max="13" width="8.88671875" style="1"/>
    <col min="14" max="14" width="12.44140625" style="1" customWidth="1"/>
    <col min="15" max="15" width="11.6640625" style="1" customWidth="1"/>
    <col min="16" max="16" width="9.44140625" style="1" customWidth="1"/>
    <col min="17" max="16384" width="8.88671875" style="1"/>
  </cols>
  <sheetData>
    <row r="1" spans="1:15" ht="57.6" x14ac:dyDescent="0.3">
      <c r="A1" s="1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16</v>
      </c>
      <c r="J1" s="1" t="s">
        <v>9</v>
      </c>
      <c r="K1" s="1" t="s">
        <v>10</v>
      </c>
      <c r="L1" s="1" t="s">
        <v>24</v>
      </c>
      <c r="M1" s="1" t="s">
        <v>17</v>
      </c>
      <c r="N1" s="1" t="s">
        <v>18</v>
      </c>
      <c r="O1" s="1" t="s">
        <v>7</v>
      </c>
    </row>
    <row r="2" spans="1:15" ht="28.8" x14ac:dyDescent="0.3">
      <c r="A2" s="9" t="s">
        <v>290</v>
      </c>
      <c r="B2" s="1" t="s">
        <v>324</v>
      </c>
      <c r="C2" s="1" t="s">
        <v>26</v>
      </c>
      <c r="D2" s="1" t="s">
        <v>184</v>
      </c>
      <c r="E2" s="1" t="s">
        <v>293</v>
      </c>
      <c r="G2" s="1" t="s">
        <v>292</v>
      </c>
      <c r="I2" s="1">
        <v>1485</v>
      </c>
      <c r="J2" s="2">
        <f>I2*3.14*0.15*0.15/4</f>
        <v>26.2288125</v>
      </c>
      <c r="K2" s="2">
        <f t="shared" ref="K2" si="0">3*J2</f>
        <v>78.686437499999997</v>
      </c>
      <c r="L2" s="2">
        <v>0.95</v>
      </c>
      <c r="M2" s="1">
        <v>16.8</v>
      </c>
      <c r="N2" s="3">
        <f>K2/(M2*60*0.001)</f>
        <v>78.061941964285708</v>
      </c>
    </row>
    <row r="3" spans="1:15" ht="28.8" x14ac:dyDescent="0.3">
      <c r="A3" s="9" t="s">
        <v>291</v>
      </c>
      <c r="B3" s="1" t="s">
        <v>325</v>
      </c>
      <c r="C3" s="1" t="s">
        <v>26</v>
      </c>
      <c r="D3" s="1" t="s">
        <v>184</v>
      </c>
      <c r="E3" s="1" t="s">
        <v>185</v>
      </c>
      <c r="G3" s="1" t="s">
        <v>186</v>
      </c>
      <c r="I3" s="1">
        <v>1270</v>
      </c>
      <c r="J3" s="2">
        <f>I3*3.14*0.15*0.15/4</f>
        <v>22.431374999999999</v>
      </c>
      <c r="K3" s="2">
        <f t="shared" ref="K3" si="1">3*J3</f>
        <v>67.294124999999994</v>
      </c>
      <c r="L3" s="2">
        <v>0.69</v>
      </c>
      <c r="M3" s="1">
        <v>12.28</v>
      </c>
      <c r="N3" s="3">
        <f>K3/(M3*60*0.001)</f>
        <v>91.332960097719862</v>
      </c>
    </row>
    <row r="4" spans="1:15" ht="28.8" x14ac:dyDescent="0.3">
      <c r="A4" s="8" t="s">
        <v>11</v>
      </c>
      <c r="B4" s="1" t="s">
        <v>188</v>
      </c>
      <c r="C4" s="1" t="s">
        <v>26</v>
      </c>
      <c r="D4" s="1" t="s">
        <v>184</v>
      </c>
      <c r="E4" s="1" t="s">
        <v>204</v>
      </c>
      <c r="G4" s="1" t="s">
        <v>201</v>
      </c>
      <c r="I4" s="1">
        <v>841</v>
      </c>
      <c r="J4" s="2">
        <f t="shared" ref="J4:J5" si="2">I4*3.14*0.15*0.15/4</f>
        <v>14.854162500000001</v>
      </c>
      <c r="K4" s="2">
        <f t="shared" ref="K4:K7" si="3">3*J4</f>
        <v>44.562487500000003</v>
      </c>
      <c r="L4" s="2">
        <v>0.68</v>
      </c>
      <c r="M4" s="1">
        <v>11.94</v>
      </c>
      <c r="N4" s="3">
        <f t="shared" ref="N4:N7" si="4">K4/(M4*60*0.001)</f>
        <v>62.203360552763819</v>
      </c>
    </row>
    <row r="5" spans="1:15" ht="43.2" x14ac:dyDescent="0.3">
      <c r="A5" s="8" t="s">
        <v>12</v>
      </c>
      <c r="B5" s="1" t="s">
        <v>189</v>
      </c>
      <c r="C5" s="1" t="s">
        <v>26</v>
      </c>
      <c r="D5" s="1" t="s">
        <v>190</v>
      </c>
      <c r="E5" s="1" t="s">
        <v>211</v>
      </c>
      <c r="G5" s="1" t="s">
        <v>201</v>
      </c>
      <c r="I5" s="1">
        <f>63+81+193+36</f>
        <v>373</v>
      </c>
      <c r="J5" s="2">
        <f t="shared" si="2"/>
        <v>6.5881124999999994</v>
      </c>
      <c r="K5" s="2">
        <f t="shared" si="3"/>
        <v>19.764337499999996</v>
      </c>
      <c r="L5" s="2">
        <v>1.17</v>
      </c>
      <c r="M5" s="1">
        <v>20.61</v>
      </c>
      <c r="N5" s="3">
        <f t="shared" si="4"/>
        <v>15.982805676855893</v>
      </c>
    </row>
    <row r="6" spans="1:15" ht="43.2" x14ac:dyDescent="0.3">
      <c r="A6" s="8" t="s">
        <v>23</v>
      </c>
      <c r="B6" s="1" t="s">
        <v>188</v>
      </c>
      <c r="C6" s="1" t="s">
        <v>93</v>
      </c>
      <c r="D6" s="1" t="s">
        <v>202</v>
      </c>
      <c r="E6" s="1" t="s">
        <v>206</v>
      </c>
      <c r="G6" s="1" t="s">
        <v>118</v>
      </c>
      <c r="I6" s="1" t="s">
        <v>203</v>
      </c>
      <c r="J6" s="2">
        <f>63*3.14*0.15*0.15/4+228*3.14*0.1*0.1/4</f>
        <v>2.9025375000000002</v>
      </c>
      <c r="K6" s="2">
        <f t="shared" si="3"/>
        <v>8.7076124999999998</v>
      </c>
      <c r="L6" s="2">
        <v>1.41</v>
      </c>
      <c r="M6" s="1">
        <v>11.32</v>
      </c>
      <c r="N6" s="3">
        <f t="shared" si="4"/>
        <v>12.8203953180212</v>
      </c>
    </row>
    <row r="7" spans="1:15" ht="28.8" x14ac:dyDescent="0.3">
      <c r="A7" s="8" t="s">
        <v>13</v>
      </c>
      <c r="B7" s="1" t="s">
        <v>191</v>
      </c>
      <c r="C7" s="1" t="s">
        <v>19</v>
      </c>
      <c r="D7" s="1" t="s">
        <v>190</v>
      </c>
      <c r="E7" s="1" t="s">
        <v>205</v>
      </c>
      <c r="G7" s="1" t="s">
        <v>118</v>
      </c>
      <c r="I7" s="1">
        <v>163</v>
      </c>
      <c r="J7" s="2">
        <f>I7*3.14*0.1*0.1/4</f>
        <v>1.2795500000000002</v>
      </c>
      <c r="K7" s="2">
        <f t="shared" si="3"/>
        <v>3.8386500000000003</v>
      </c>
      <c r="L7" s="1">
        <v>1.1499999999999999</v>
      </c>
      <c r="M7" s="1">
        <v>9.0500000000000007</v>
      </c>
      <c r="N7" s="3">
        <f t="shared" si="4"/>
        <v>7.0693370165745861</v>
      </c>
    </row>
    <row r="8" spans="1:15" ht="28.8" x14ac:dyDescent="0.3">
      <c r="A8" s="8" t="s">
        <v>187</v>
      </c>
      <c r="B8" s="1" t="s">
        <v>192</v>
      </c>
      <c r="C8" s="1" t="s">
        <v>19</v>
      </c>
      <c r="D8" s="1" t="s">
        <v>198</v>
      </c>
      <c r="E8" s="1" t="s">
        <v>206</v>
      </c>
      <c r="G8" s="1" t="s">
        <v>118</v>
      </c>
      <c r="I8" s="1">
        <v>230</v>
      </c>
      <c r="J8" s="2">
        <f t="shared" ref="J8:J14" si="5">I8*3.14*0.1*0.1/4</f>
        <v>1.8055000000000003</v>
      </c>
      <c r="K8" s="2">
        <f t="shared" ref="K8:K14" si="6">3*J8</f>
        <v>5.416500000000001</v>
      </c>
      <c r="L8" s="1">
        <v>1.44</v>
      </c>
      <c r="M8" s="1">
        <v>11.51</v>
      </c>
      <c r="N8" s="3">
        <f t="shared" ref="N8:N14" si="7">K8/(M8*60*0.001)</f>
        <v>7.8431798436142497</v>
      </c>
    </row>
    <row r="9" spans="1:15" ht="28.8" x14ac:dyDescent="0.3">
      <c r="A9" s="8" t="s">
        <v>159</v>
      </c>
      <c r="B9" s="1" t="s">
        <v>193</v>
      </c>
      <c r="C9" s="1" t="s">
        <v>19</v>
      </c>
      <c r="D9" s="1" t="s">
        <v>198</v>
      </c>
      <c r="E9" s="1" t="s">
        <v>207</v>
      </c>
      <c r="G9" s="1" t="s">
        <v>118</v>
      </c>
      <c r="I9" s="1">
        <v>462</v>
      </c>
      <c r="J9" s="2">
        <f t="shared" si="5"/>
        <v>3.6267000000000005</v>
      </c>
      <c r="K9" s="2">
        <f t="shared" si="6"/>
        <v>10.880100000000002</v>
      </c>
      <c r="L9" s="1">
        <v>1.41</v>
      </c>
      <c r="M9" s="1">
        <v>11.33</v>
      </c>
      <c r="N9" s="3">
        <f t="shared" si="7"/>
        <v>16.004854368932044</v>
      </c>
    </row>
    <row r="10" spans="1:15" ht="28.8" x14ac:dyDescent="0.3">
      <c r="A10" s="8" t="s">
        <v>14</v>
      </c>
      <c r="B10" s="1" t="s">
        <v>194</v>
      </c>
      <c r="C10" s="1" t="s">
        <v>19</v>
      </c>
      <c r="D10" s="1" t="s">
        <v>199</v>
      </c>
      <c r="E10" s="1" t="s">
        <v>207</v>
      </c>
      <c r="G10" s="1" t="s">
        <v>118</v>
      </c>
      <c r="I10" s="1">
        <v>189</v>
      </c>
      <c r="J10" s="2">
        <f t="shared" si="5"/>
        <v>1.4836500000000001</v>
      </c>
      <c r="K10" s="2">
        <f t="shared" si="6"/>
        <v>4.4509500000000006</v>
      </c>
      <c r="L10" s="1">
        <v>1.39</v>
      </c>
      <c r="M10" s="1">
        <v>11.14</v>
      </c>
      <c r="N10" s="3">
        <f t="shared" si="7"/>
        <v>6.6591113105924595</v>
      </c>
    </row>
    <row r="11" spans="1:15" ht="28.8" x14ac:dyDescent="0.3">
      <c r="A11" s="8" t="s">
        <v>15</v>
      </c>
      <c r="B11" s="1" t="s">
        <v>195</v>
      </c>
      <c r="C11" s="1" t="s">
        <v>19</v>
      </c>
      <c r="D11" s="1" t="s">
        <v>200</v>
      </c>
      <c r="E11" s="1" t="s">
        <v>207</v>
      </c>
      <c r="G11" s="1" t="s">
        <v>118</v>
      </c>
      <c r="I11" s="1">
        <v>68</v>
      </c>
      <c r="J11" s="2">
        <f t="shared" si="5"/>
        <v>0.53380000000000016</v>
      </c>
      <c r="K11" s="2">
        <f t="shared" si="6"/>
        <v>1.6014000000000004</v>
      </c>
      <c r="L11" s="1">
        <v>1.37</v>
      </c>
      <c r="M11" s="1">
        <v>10.95</v>
      </c>
      <c r="N11" s="3">
        <f t="shared" si="7"/>
        <v>2.4374429223744296</v>
      </c>
    </row>
    <row r="12" spans="1:15" ht="28.8" x14ac:dyDescent="0.3">
      <c r="A12" s="8" t="s">
        <v>97</v>
      </c>
      <c r="B12" s="1" t="s">
        <v>196</v>
      </c>
      <c r="C12" s="1" t="s">
        <v>19</v>
      </c>
      <c r="D12" s="1" t="s">
        <v>200</v>
      </c>
      <c r="E12" s="1" t="s">
        <v>207</v>
      </c>
      <c r="G12" s="1" t="s">
        <v>118</v>
      </c>
      <c r="I12" s="1">
        <v>293</v>
      </c>
      <c r="J12" s="2">
        <f t="shared" si="5"/>
        <v>2.3000500000000001</v>
      </c>
      <c r="K12" s="2">
        <f t="shared" si="6"/>
        <v>6.90015</v>
      </c>
      <c r="L12" s="1">
        <v>1.33</v>
      </c>
      <c r="M12" s="1">
        <v>10.61</v>
      </c>
      <c r="N12" s="3">
        <f t="shared" si="7"/>
        <v>10.839066918001887</v>
      </c>
    </row>
    <row r="13" spans="1:15" ht="28.8" x14ac:dyDescent="0.3">
      <c r="A13" s="8" t="s">
        <v>99</v>
      </c>
      <c r="B13" s="1" t="s">
        <v>197</v>
      </c>
      <c r="C13" s="1" t="s">
        <v>19</v>
      </c>
      <c r="D13" s="1" t="s">
        <v>210</v>
      </c>
      <c r="E13" s="1" t="s">
        <v>207</v>
      </c>
      <c r="G13" s="1" t="s">
        <v>118</v>
      </c>
      <c r="I13" s="1">
        <v>229</v>
      </c>
      <c r="J13" s="2">
        <f t="shared" si="5"/>
        <v>1.7976500000000002</v>
      </c>
      <c r="K13" s="2">
        <f t="shared" si="6"/>
        <v>5.3929500000000008</v>
      </c>
      <c r="L13" s="1">
        <v>1.36</v>
      </c>
      <c r="M13" s="1">
        <v>10.86</v>
      </c>
      <c r="N13" s="3">
        <f t="shared" si="7"/>
        <v>8.2764732965009227</v>
      </c>
    </row>
    <row r="14" spans="1:15" ht="28.8" x14ac:dyDescent="0.3">
      <c r="A14" s="8" t="s">
        <v>101</v>
      </c>
      <c r="B14" s="1" t="s">
        <v>209</v>
      </c>
      <c r="C14" s="1" t="s">
        <v>19</v>
      </c>
      <c r="D14" s="1" t="s">
        <v>188</v>
      </c>
      <c r="E14" s="1" t="s">
        <v>208</v>
      </c>
      <c r="G14" s="1" t="s">
        <v>118</v>
      </c>
      <c r="I14" s="1">
        <v>539</v>
      </c>
      <c r="J14" s="2">
        <f t="shared" si="5"/>
        <v>4.2311500000000004</v>
      </c>
      <c r="K14" s="2">
        <f t="shared" si="6"/>
        <v>12.693450000000002</v>
      </c>
      <c r="L14" s="1">
        <v>1.35</v>
      </c>
      <c r="M14" s="1">
        <v>10.78</v>
      </c>
      <c r="N14" s="3">
        <f t="shared" si="7"/>
        <v>19.625000000000007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6"/>
  <sheetViews>
    <sheetView workbookViewId="0">
      <pane ySplit="1" topLeftCell="A2" activePane="bottomLeft" state="frozen"/>
      <selection pane="bottomLeft" activeCell="D6" sqref="D6"/>
    </sheetView>
  </sheetViews>
  <sheetFormatPr defaultRowHeight="14.4" x14ac:dyDescent="0.3"/>
  <cols>
    <col min="1" max="1" width="7.6640625" style="1" customWidth="1"/>
    <col min="2" max="2" width="30.44140625" style="1" customWidth="1"/>
    <col min="3" max="3" width="8.88671875" style="1"/>
    <col min="4" max="4" width="29.77734375" style="1" customWidth="1"/>
    <col min="5" max="5" width="56.5546875" style="1" customWidth="1"/>
    <col min="6" max="6" width="16.6640625" style="1" customWidth="1"/>
    <col min="7" max="7" width="32.21875" style="1" customWidth="1"/>
    <col min="8" max="8" width="11.5546875" style="1" customWidth="1"/>
    <col min="9" max="9" width="13.21875" style="1" customWidth="1"/>
    <col min="10" max="10" width="11.109375" style="1" customWidth="1"/>
    <col min="11" max="13" width="8.88671875" style="1"/>
    <col min="14" max="14" width="12.44140625" style="1" customWidth="1"/>
    <col min="15" max="15" width="11.6640625" style="1" customWidth="1"/>
    <col min="16" max="16" width="9.44140625" style="1" customWidth="1"/>
    <col min="17" max="16384" width="8.88671875" style="1"/>
  </cols>
  <sheetData>
    <row r="1" spans="1:15" ht="57.6" x14ac:dyDescent="0.3">
      <c r="A1" s="1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16</v>
      </c>
      <c r="J1" s="1" t="s">
        <v>9</v>
      </c>
      <c r="K1" s="1" t="s">
        <v>10</v>
      </c>
      <c r="L1" s="1" t="s">
        <v>24</v>
      </c>
      <c r="M1" s="1" t="s">
        <v>17</v>
      </c>
      <c r="N1" s="1" t="s">
        <v>18</v>
      </c>
      <c r="O1" s="1" t="s">
        <v>7</v>
      </c>
    </row>
    <row r="2" spans="1:15" ht="72" x14ac:dyDescent="0.3">
      <c r="A2" s="8" t="s">
        <v>22</v>
      </c>
      <c r="B2" s="1" t="s">
        <v>570</v>
      </c>
      <c r="C2" s="1" t="s">
        <v>253</v>
      </c>
      <c r="D2" s="1" t="s">
        <v>571</v>
      </c>
      <c r="E2" s="1" t="s">
        <v>648</v>
      </c>
      <c r="G2" s="1" t="s">
        <v>572</v>
      </c>
      <c r="I2" s="1">
        <f>135+427+96+184+61</f>
        <v>903</v>
      </c>
      <c r="J2" s="2">
        <f>I2*3.14*0.2*0.2/4</f>
        <v>28.354200000000006</v>
      </c>
      <c r="K2" s="2">
        <f t="shared" ref="K2" si="0">3*J2</f>
        <v>85.062600000000018</v>
      </c>
      <c r="L2" s="2">
        <v>1.4</v>
      </c>
      <c r="M2" s="1">
        <v>43.95</v>
      </c>
      <c r="N2" s="3">
        <f>K2/(M2*60*0.001)</f>
        <v>32.257337883959053</v>
      </c>
    </row>
    <row r="3" spans="1:15" ht="72" x14ac:dyDescent="0.3">
      <c r="A3" s="8" t="s">
        <v>11</v>
      </c>
      <c r="B3" s="1" t="s">
        <v>573</v>
      </c>
      <c r="C3" s="1" t="s">
        <v>263</v>
      </c>
      <c r="D3" s="1" t="s">
        <v>576</v>
      </c>
      <c r="E3" s="1" t="s">
        <v>577</v>
      </c>
      <c r="G3" s="1" t="s">
        <v>578</v>
      </c>
      <c r="I3" s="1">
        <f>81+37+192</f>
        <v>310</v>
      </c>
      <c r="J3" s="2">
        <f>I3*3.14*0.1*0.1/4</f>
        <v>2.4335000000000004</v>
      </c>
      <c r="K3" s="2">
        <f t="shared" ref="K3:K26" si="1">3*J3</f>
        <v>7.3005000000000013</v>
      </c>
      <c r="L3" s="2">
        <v>3.81</v>
      </c>
      <c r="M3" s="1">
        <v>30.55</v>
      </c>
      <c r="N3" s="3">
        <f t="shared" ref="N3:N26" si="2">K3/(M3*60*0.001)</f>
        <v>3.9828150572831431</v>
      </c>
    </row>
    <row r="4" spans="1:15" ht="86.4" x14ac:dyDescent="0.3">
      <c r="A4" s="8" t="s">
        <v>12</v>
      </c>
      <c r="B4" s="1" t="s">
        <v>579</v>
      </c>
      <c r="C4" s="1" t="s">
        <v>263</v>
      </c>
      <c r="D4" s="1" t="s">
        <v>580</v>
      </c>
      <c r="E4" s="1" t="s">
        <v>649</v>
      </c>
      <c r="G4" s="1" t="s">
        <v>581</v>
      </c>
      <c r="I4" s="1">
        <f>633+65</f>
        <v>698</v>
      </c>
      <c r="J4" s="2">
        <f t="shared" ref="J4:J12" si="3">I4*3.14*0.1*0.1/4</f>
        <v>5.4793000000000012</v>
      </c>
      <c r="K4" s="2">
        <f t="shared" si="1"/>
        <v>16.437900000000003</v>
      </c>
      <c r="L4" s="2">
        <v>2.56</v>
      </c>
      <c r="M4" s="1">
        <v>20.55</v>
      </c>
      <c r="N4" s="3">
        <f t="shared" si="2"/>
        <v>13.331630170316302</v>
      </c>
    </row>
    <row r="5" spans="1:15" ht="72" x14ac:dyDescent="0.3">
      <c r="A5" s="8" t="s">
        <v>23</v>
      </c>
      <c r="B5" s="1" t="s">
        <v>582</v>
      </c>
      <c r="C5" s="1" t="s">
        <v>263</v>
      </c>
      <c r="D5" s="1" t="s">
        <v>576</v>
      </c>
      <c r="E5" s="1" t="s">
        <v>650</v>
      </c>
      <c r="G5" s="1" t="s">
        <v>581</v>
      </c>
      <c r="I5" s="1">
        <f>631+126+65</f>
        <v>822</v>
      </c>
      <c r="J5" s="2">
        <f t="shared" si="3"/>
        <v>6.4527000000000001</v>
      </c>
      <c r="K5" s="2">
        <f t="shared" si="1"/>
        <v>19.3581</v>
      </c>
      <c r="L5" s="2">
        <v>2.56</v>
      </c>
      <c r="M5" s="1">
        <v>20.48</v>
      </c>
      <c r="N5" s="3">
        <f t="shared" si="2"/>
        <v>15.753662109375002</v>
      </c>
    </row>
    <row r="6" spans="1:15" ht="115.2" x14ac:dyDescent="0.3">
      <c r="A6" s="8" t="s">
        <v>13</v>
      </c>
      <c r="B6" s="1" t="s">
        <v>583</v>
      </c>
      <c r="C6" s="1" t="s">
        <v>584</v>
      </c>
      <c r="D6" s="1" t="s">
        <v>576</v>
      </c>
      <c r="E6" s="1" t="s">
        <v>652</v>
      </c>
      <c r="G6" s="1" t="s">
        <v>585</v>
      </c>
      <c r="I6" s="1">
        <f>167+86+540+170+162+141+68</f>
        <v>1334</v>
      </c>
      <c r="J6" s="2">
        <f>((167+86+170+162+141+68)*0.1*0.1+540*0.15*0.15)*3.14*0.25</f>
        <v>15.770650000000003</v>
      </c>
      <c r="K6" s="2">
        <f t="shared" si="1"/>
        <v>47.31195000000001</v>
      </c>
      <c r="L6" s="2" t="s">
        <v>651</v>
      </c>
      <c r="M6" s="1">
        <v>19.45</v>
      </c>
      <c r="N6" s="3">
        <f t="shared" si="2"/>
        <v>40.541516709511576</v>
      </c>
    </row>
    <row r="7" spans="1:15" ht="28.8" x14ac:dyDescent="0.3">
      <c r="A7" s="8" t="s">
        <v>187</v>
      </c>
      <c r="B7" s="1" t="s">
        <v>586</v>
      </c>
      <c r="C7" s="1" t="s">
        <v>263</v>
      </c>
      <c r="D7" s="1" t="s">
        <v>587</v>
      </c>
      <c r="E7" s="1" t="s">
        <v>588</v>
      </c>
      <c r="G7" s="1" t="s">
        <v>589</v>
      </c>
      <c r="I7" s="1">
        <v>234</v>
      </c>
      <c r="J7" s="2">
        <f t="shared" si="3"/>
        <v>1.8369</v>
      </c>
      <c r="K7" s="2">
        <f t="shared" si="1"/>
        <v>5.5106999999999999</v>
      </c>
      <c r="L7" s="2">
        <v>2.41</v>
      </c>
      <c r="M7" s="1">
        <v>17.46</v>
      </c>
      <c r="N7" s="3">
        <f t="shared" si="2"/>
        <v>5.2603092783505145</v>
      </c>
    </row>
    <row r="8" spans="1:15" ht="57.6" x14ac:dyDescent="0.3">
      <c r="A8" s="8" t="s">
        <v>159</v>
      </c>
      <c r="B8" s="1" t="s">
        <v>590</v>
      </c>
      <c r="C8" s="1" t="s">
        <v>263</v>
      </c>
      <c r="D8" s="1" t="s">
        <v>591</v>
      </c>
      <c r="E8" s="1" t="s">
        <v>653</v>
      </c>
      <c r="G8" s="1" t="s">
        <v>592</v>
      </c>
      <c r="I8" s="1">
        <v>217</v>
      </c>
      <c r="J8" s="2">
        <f t="shared" si="3"/>
        <v>1.7034500000000001</v>
      </c>
      <c r="K8" s="2">
        <f t="shared" si="1"/>
        <v>5.1103500000000004</v>
      </c>
      <c r="L8" s="2">
        <v>3.16</v>
      </c>
      <c r="M8" s="1">
        <v>25.34</v>
      </c>
      <c r="N8" s="3">
        <f t="shared" si="2"/>
        <v>3.3611878453038671</v>
      </c>
    </row>
    <row r="9" spans="1:15" ht="57.6" x14ac:dyDescent="0.3">
      <c r="A9" s="8" t="s">
        <v>14</v>
      </c>
      <c r="B9" s="1" t="s">
        <v>593</v>
      </c>
      <c r="C9" s="1" t="s">
        <v>263</v>
      </c>
      <c r="D9" s="1" t="s">
        <v>594</v>
      </c>
      <c r="E9" s="1" t="s">
        <v>653</v>
      </c>
      <c r="G9" s="1" t="s">
        <v>592</v>
      </c>
      <c r="I9" s="1">
        <f>19+96+113</f>
        <v>228</v>
      </c>
      <c r="J9" s="2">
        <f t="shared" si="3"/>
        <v>1.7898000000000005</v>
      </c>
      <c r="K9" s="2">
        <f t="shared" si="1"/>
        <v>5.3694000000000015</v>
      </c>
      <c r="L9" s="2">
        <v>2.71</v>
      </c>
      <c r="M9" s="1">
        <v>21.7</v>
      </c>
      <c r="N9" s="3">
        <f t="shared" si="2"/>
        <v>4.1239631336405544</v>
      </c>
    </row>
    <row r="10" spans="1:15" ht="57.6" x14ac:dyDescent="0.3">
      <c r="A10" s="8" t="s">
        <v>15</v>
      </c>
      <c r="B10" s="1" t="s">
        <v>595</v>
      </c>
      <c r="C10" s="1" t="s">
        <v>263</v>
      </c>
      <c r="D10" s="1" t="s">
        <v>596</v>
      </c>
      <c r="E10" s="1" t="s">
        <v>653</v>
      </c>
      <c r="G10" s="1" t="s">
        <v>597</v>
      </c>
      <c r="I10" s="1">
        <f>105+61</f>
        <v>166</v>
      </c>
      <c r="J10" s="2">
        <f t="shared" si="3"/>
        <v>1.3031000000000001</v>
      </c>
      <c r="K10" s="2">
        <f t="shared" si="1"/>
        <v>3.9093000000000004</v>
      </c>
      <c r="L10" s="2">
        <v>2.59</v>
      </c>
      <c r="M10" s="1">
        <v>20.76</v>
      </c>
      <c r="N10" s="3">
        <f t="shared" si="2"/>
        <v>3.1384874759152215</v>
      </c>
    </row>
    <row r="11" spans="1:15" ht="72" x14ac:dyDescent="0.3">
      <c r="A11" s="8" t="s">
        <v>97</v>
      </c>
      <c r="B11" s="1" t="s">
        <v>598</v>
      </c>
      <c r="C11" s="1" t="s">
        <v>263</v>
      </c>
      <c r="D11" s="1" t="s">
        <v>599</v>
      </c>
      <c r="E11" s="1" t="s">
        <v>653</v>
      </c>
      <c r="G11" s="1" t="s">
        <v>600</v>
      </c>
      <c r="I11" s="1">
        <v>90</v>
      </c>
      <c r="J11" s="2">
        <f t="shared" si="3"/>
        <v>0.70650000000000013</v>
      </c>
      <c r="K11" s="2">
        <f t="shared" si="1"/>
        <v>2.1195000000000004</v>
      </c>
      <c r="L11" s="2">
        <v>2.57</v>
      </c>
      <c r="M11" s="1">
        <v>20.57</v>
      </c>
      <c r="N11" s="3">
        <f t="shared" si="2"/>
        <v>1.7173067574137098</v>
      </c>
    </row>
    <row r="12" spans="1:15" ht="86.4" x14ac:dyDescent="0.3">
      <c r="A12" s="8" t="s">
        <v>99</v>
      </c>
      <c r="B12" s="1" t="s">
        <v>601</v>
      </c>
      <c r="C12" s="1" t="s">
        <v>263</v>
      </c>
      <c r="D12" s="1" t="s">
        <v>602</v>
      </c>
      <c r="E12" s="1" t="s">
        <v>654</v>
      </c>
      <c r="G12" s="1" t="s">
        <v>603</v>
      </c>
      <c r="I12" s="1">
        <f>616+50</f>
        <v>666</v>
      </c>
      <c r="J12" s="2">
        <f t="shared" si="3"/>
        <v>5.2281000000000013</v>
      </c>
      <c r="K12" s="2">
        <f t="shared" si="1"/>
        <v>15.684300000000004</v>
      </c>
      <c r="L12" s="2">
        <v>2.37</v>
      </c>
      <c r="M12" s="1">
        <v>18.96</v>
      </c>
      <c r="N12" s="3">
        <f t="shared" si="2"/>
        <v>13.787183544303799</v>
      </c>
    </row>
    <row r="13" spans="1:15" ht="57.6" x14ac:dyDescent="0.3">
      <c r="A13" s="8" t="s">
        <v>101</v>
      </c>
      <c r="B13" s="1" t="s">
        <v>604</v>
      </c>
      <c r="C13" s="1" t="s">
        <v>645</v>
      </c>
      <c r="D13" s="1" t="s">
        <v>605</v>
      </c>
      <c r="E13" s="1" t="s">
        <v>662</v>
      </c>
      <c r="G13" s="1" t="s">
        <v>606</v>
      </c>
      <c r="I13" s="1">
        <f>131+177+455+162+53</f>
        <v>978</v>
      </c>
      <c r="J13" s="2">
        <f>(177+455+162+53)*3.14*0.2*0.2/4+131*0.15*0.15*3.14*0.25</f>
        <v>28.909587500000004</v>
      </c>
      <c r="K13" s="2">
        <f t="shared" si="1"/>
        <v>86.728762500000016</v>
      </c>
      <c r="L13" s="2" t="s">
        <v>661</v>
      </c>
      <c r="M13" s="1">
        <v>38.590000000000003</v>
      </c>
      <c r="N13" s="3">
        <f t="shared" si="2"/>
        <v>37.457356180357607</v>
      </c>
    </row>
    <row r="14" spans="1:15" ht="57.6" x14ac:dyDescent="0.3">
      <c r="A14" s="8" t="s">
        <v>102</v>
      </c>
      <c r="B14" s="1" t="s">
        <v>607</v>
      </c>
      <c r="C14" s="1" t="s">
        <v>621</v>
      </c>
      <c r="D14" s="1" t="s">
        <v>608</v>
      </c>
      <c r="E14" s="1" t="s">
        <v>662</v>
      </c>
      <c r="G14" s="1" t="s">
        <v>663</v>
      </c>
      <c r="I14" s="1">
        <f>85+131+865</f>
        <v>1081</v>
      </c>
      <c r="J14" s="2">
        <f>85*3.14*0.15*0.15/4+(131+865)*0.1*0.1*3.14*0.25</f>
        <v>9.3199125000000009</v>
      </c>
      <c r="K14" s="2">
        <f t="shared" si="1"/>
        <v>27.959737500000003</v>
      </c>
      <c r="L14" s="2">
        <v>1.93</v>
      </c>
      <c r="M14" s="1">
        <v>15.46</v>
      </c>
      <c r="N14" s="3">
        <f t="shared" si="2"/>
        <v>30.142019728331178</v>
      </c>
    </row>
    <row r="15" spans="1:15" ht="86.4" x14ac:dyDescent="0.3">
      <c r="A15" s="8" t="s">
        <v>103</v>
      </c>
      <c r="B15" s="1" t="s">
        <v>609</v>
      </c>
      <c r="C15" s="1" t="s">
        <v>263</v>
      </c>
      <c r="D15" s="1" t="s">
        <v>608</v>
      </c>
      <c r="E15" s="1" t="s">
        <v>655</v>
      </c>
      <c r="G15" s="1" t="s">
        <v>606</v>
      </c>
      <c r="I15" s="1">
        <v>161</v>
      </c>
      <c r="J15" s="2">
        <f t="shared" ref="J15" si="4">I15*3.14*0.1*0.1/4</f>
        <v>1.2638500000000001</v>
      </c>
      <c r="K15" s="2">
        <f t="shared" si="1"/>
        <v>3.7915500000000004</v>
      </c>
      <c r="L15" s="2">
        <v>3.17</v>
      </c>
      <c r="M15" s="1">
        <v>25.44</v>
      </c>
      <c r="N15" s="3">
        <f t="shared" si="2"/>
        <v>2.4839819182389937</v>
      </c>
    </row>
    <row r="16" spans="1:15" ht="86.4" x14ac:dyDescent="0.3">
      <c r="A16" s="8" t="s">
        <v>104</v>
      </c>
      <c r="B16" s="1" t="s">
        <v>619</v>
      </c>
      <c r="C16" s="1" t="s">
        <v>621</v>
      </c>
      <c r="D16" s="1" t="s">
        <v>620</v>
      </c>
      <c r="E16" s="1" t="s">
        <v>656</v>
      </c>
      <c r="G16" s="1" t="s">
        <v>622</v>
      </c>
      <c r="I16" s="1">
        <f>254+477+69</f>
        <v>800</v>
      </c>
      <c r="J16" s="2">
        <f>3.14*0.25*(254*0.15*0.15+(477+69)*0.1*0.1)</f>
        <v>8.7723750000000003</v>
      </c>
      <c r="K16" s="2">
        <f t="shared" si="1"/>
        <v>26.317125000000001</v>
      </c>
      <c r="L16" s="2">
        <v>2.39</v>
      </c>
      <c r="M16" s="1">
        <v>19.18</v>
      </c>
      <c r="N16" s="3">
        <f>K16/(M16*60*0.001)</f>
        <v>22.868547966631908</v>
      </c>
    </row>
    <row r="17" spans="1:14" ht="86.4" x14ac:dyDescent="0.3">
      <c r="A17" s="8" t="s">
        <v>160</v>
      </c>
      <c r="B17" s="1" t="s">
        <v>623</v>
      </c>
      <c r="C17" s="1" t="s">
        <v>263</v>
      </c>
      <c r="D17" s="1" t="s">
        <v>624</v>
      </c>
      <c r="E17" s="1" t="s">
        <v>656</v>
      </c>
      <c r="G17" s="1" t="s">
        <v>625</v>
      </c>
      <c r="I17" s="1">
        <f>130+93</f>
        <v>223</v>
      </c>
      <c r="J17" s="2">
        <f t="shared" ref="J17" si="5">I17*3.14*0.1*0.1/4</f>
        <v>1.7505500000000003</v>
      </c>
      <c r="K17" s="2">
        <f t="shared" si="1"/>
        <v>5.2516500000000006</v>
      </c>
      <c r="L17" s="2">
        <v>3.83</v>
      </c>
      <c r="M17" s="1">
        <v>30.7</v>
      </c>
      <c r="N17" s="3">
        <f t="shared" si="2"/>
        <v>2.8510586319218243</v>
      </c>
    </row>
    <row r="18" spans="1:14" ht="100.8" x14ac:dyDescent="0.3">
      <c r="A18" s="8" t="s">
        <v>161</v>
      </c>
      <c r="B18" s="1" t="s">
        <v>626</v>
      </c>
      <c r="C18" s="1" t="s">
        <v>621</v>
      </c>
      <c r="D18" s="1" t="s">
        <v>627</v>
      </c>
      <c r="E18" s="1" t="s">
        <v>666</v>
      </c>
      <c r="G18" s="1" t="s">
        <v>628</v>
      </c>
      <c r="I18" s="1">
        <f>273+27+159+110+101+197</f>
        <v>867</v>
      </c>
      <c r="J18" s="2">
        <f>(273+27+159)*3.14*0.15*0.15/4+(110+101+197)*3.14*0.1*0.1*0.25</f>
        <v>11.309887499999999</v>
      </c>
      <c r="K18" s="2">
        <f t="shared" si="1"/>
        <v>33.929662499999992</v>
      </c>
      <c r="L18" s="2">
        <v>3</v>
      </c>
      <c r="M18" s="1">
        <v>24.06</v>
      </c>
      <c r="N18" s="3">
        <f t="shared" si="2"/>
        <v>23.503506857855356</v>
      </c>
    </row>
    <row r="19" spans="1:14" ht="115.2" x14ac:dyDescent="0.3">
      <c r="A19" s="8" t="s">
        <v>162</v>
      </c>
      <c r="B19" s="1" t="s">
        <v>629</v>
      </c>
      <c r="C19" s="1" t="s">
        <v>263</v>
      </c>
      <c r="D19" s="1" t="s">
        <v>630</v>
      </c>
      <c r="E19" s="1" t="s">
        <v>664</v>
      </c>
      <c r="G19" s="1" t="s">
        <v>646</v>
      </c>
      <c r="I19" s="1">
        <f>429+19+43</f>
        <v>491</v>
      </c>
      <c r="J19" s="2">
        <f t="shared" ref="J19:J24" si="6">I19*3.14*0.1*0.1/4</f>
        <v>3.8543500000000002</v>
      </c>
      <c r="K19" s="2">
        <f t="shared" si="1"/>
        <v>11.56305</v>
      </c>
      <c r="L19" s="2">
        <v>2.83</v>
      </c>
      <c r="M19" s="1">
        <v>22.25</v>
      </c>
      <c r="N19" s="3">
        <f t="shared" si="2"/>
        <v>8.6614606741573041</v>
      </c>
    </row>
    <row r="20" spans="1:14" ht="57.6" x14ac:dyDescent="0.3">
      <c r="A20" s="8" t="s">
        <v>163</v>
      </c>
      <c r="B20" s="1" t="s">
        <v>631</v>
      </c>
      <c r="C20" s="1" t="s">
        <v>263</v>
      </c>
      <c r="D20" s="1" t="s">
        <v>632</v>
      </c>
      <c r="E20" s="1" t="s">
        <v>657</v>
      </c>
      <c r="G20" s="1" t="s">
        <v>633</v>
      </c>
      <c r="I20" s="1">
        <v>462</v>
      </c>
      <c r="J20" s="2">
        <f t="shared" si="6"/>
        <v>3.6267000000000005</v>
      </c>
      <c r="K20" s="2">
        <f t="shared" si="1"/>
        <v>10.880100000000002</v>
      </c>
      <c r="L20" s="2">
        <v>3.15</v>
      </c>
      <c r="M20" s="1">
        <v>25.24</v>
      </c>
      <c r="N20" s="3">
        <f t="shared" si="2"/>
        <v>7.1844294770206041</v>
      </c>
    </row>
    <row r="21" spans="1:14" ht="28.8" x14ac:dyDescent="0.3">
      <c r="A21" s="8" t="s">
        <v>164</v>
      </c>
      <c r="B21" s="1" t="s">
        <v>634</v>
      </c>
      <c r="C21" s="1" t="s">
        <v>263</v>
      </c>
      <c r="D21" s="1" t="s">
        <v>608</v>
      </c>
      <c r="E21" s="1" t="s">
        <v>635</v>
      </c>
      <c r="G21" s="1" t="s">
        <v>639</v>
      </c>
      <c r="I21" s="1">
        <v>101</v>
      </c>
      <c r="J21" s="2">
        <f t="shared" si="6"/>
        <v>0.79285000000000005</v>
      </c>
      <c r="K21" s="2">
        <f t="shared" si="1"/>
        <v>2.3785500000000002</v>
      </c>
      <c r="L21" s="2">
        <v>3.76</v>
      </c>
      <c r="M21" s="1">
        <v>30.13</v>
      </c>
      <c r="N21" s="3">
        <f t="shared" si="2"/>
        <v>1.3157152339860605</v>
      </c>
    </row>
    <row r="22" spans="1:14" ht="100.8" x14ac:dyDescent="0.3">
      <c r="A22" s="8" t="s">
        <v>250</v>
      </c>
      <c r="B22" s="1" t="s">
        <v>636</v>
      </c>
      <c r="C22" s="1" t="s">
        <v>263</v>
      </c>
      <c r="D22" s="1" t="s">
        <v>637</v>
      </c>
      <c r="E22" s="1" t="s">
        <v>658</v>
      </c>
      <c r="G22" s="1" t="s">
        <v>638</v>
      </c>
      <c r="I22" s="1">
        <v>290</v>
      </c>
      <c r="J22" s="2">
        <f t="shared" si="6"/>
        <v>2.2765</v>
      </c>
      <c r="K22" s="2">
        <f t="shared" si="1"/>
        <v>6.8294999999999995</v>
      </c>
      <c r="L22" s="2">
        <v>3.04</v>
      </c>
      <c r="M22" s="1">
        <v>24.32</v>
      </c>
      <c r="N22" s="3">
        <f t="shared" si="2"/>
        <v>4.6803042763157885</v>
      </c>
    </row>
    <row r="23" spans="1:14" ht="86.4" x14ac:dyDescent="0.3">
      <c r="A23" s="8" t="s">
        <v>574</v>
      </c>
      <c r="B23" s="1" t="s">
        <v>640</v>
      </c>
      <c r="C23" s="1" t="s">
        <v>263</v>
      </c>
      <c r="D23" s="1" t="s">
        <v>641</v>
      </c>
      <c r="E23" s="1" t="s">
        <v>659</v>
      </c>
      <c r="G23" s="1" t="s">
        <v>638</v>
      </c>
      <c r="I23" s="1">
        <v>266</v>
      </c>
      <c r="J23" s="2">
        <f t="shared" si="6"/>
        <v>2.0881000000000003</v>
      </c>
      <c r="K23" s="2">
        <f t="shared" si="1"/>
        <v>6.2643000000000004</v>
      </c>
      <c r="L23" s="2">
        <v>2.71</v>
      </c>
      <c r="M23" s="1">
        <v>21.73</v>
      </c>
      <c r="N23" s="3">
        <f t="shared" si="2"/>
        <v>4.8046479521398986</v>
      </c>
    </row>
    <row r="24" spans="1:14" ht="57.6" x14ac:dyDescent="0.3">
      <c r="A24" s="8" t="s">
        <v>575</v>
      </c>
      <c r="B24" s="1" t="s">
        <v>642</v>
      </c>
      <c r="C24" s="1" t="s">
        <v>263</v>
      </c>
      <c r="D24" s="1" t="s">
        <v>643</v>
      </c>
      <c r="E24" s="1" t="s">
        <v>660</v>
      </c>
      <c r="G24" s="1" t="s">
        <v>644</v>
      </c>
      <c r="I24" s="1">
        <f>76+73+438+154</f>
        <v>741</v>
      </c>
      <c r="J24" s="2">
        <f t="shared" si="6"/>
        <v>5.8168500000000014</v>
      </c>
      <c r="K24" s="2">
        <f t="shared" si="1"/>
        <v>17.450550000000003</v>
      </c>
      <c r="L24" s="2">
        <v>2.4500000000000002</v>
      </c>
      <c r="M24" s="1">
        <v>19.61</v>
      </c>
      <c r="N24" s="3">
        <f t="shared" si="2"/>
        <v>14.831336053034171</v>
      </c>
    </row>
    <row r="25" spans="1:14" ht="43.2" x14ac:dyDescent="0.3">
      <c r="A25" s="8" t="s">
        <v>610</v>
      </c>
      <c r="B25" s="1" t="s">
        <v>618</v>
      </c>
      <c r="C25" s="1" t="s">
        <v>647</v>
      </c>
      <c r="D25" s="1" t="s">
        <v>617</v>
      </c>
      <c r="E25" s="1" t="s">
        <v>660</v>
      </c>
      <c r="G25" s="1" t="s">
        <v>616</v>
      </c>
      <c r="I25" s="1">
        <f>50+175+35+442</f>
        <v>702</v>
      </c>
      <c r="J25" s="2">
        <f>442*3.14*0.2*0.2/4+(50+175+35)*0.1*0.1*0.25*3.14</f>
        <v>15.919800000000002</v>
      </c>
      <c r="K25" s="2">
        <f t="shared" si="1"/>
        <v>47.759400000000007</v>
      </c>
      <c r="L25" s="2" t="s">
        <v>665</v>
      </c>
      <c r="M25" s="1">
        <v>29.47</v>
      </c>
      <c r="N25" s="3">
        <f t="shared" si="2"/>
        <v>27.010179843909068</v>
      </c>
    </row>
    <row r="26" spans="1:14" ht="57.6" x14ac:dyDescent="0.3">
      <c r="A26" s="8" t="s">
        <v>611</v>
      </c>
      <c r="B26" s="1" t="s">
        <v>612</v>
      </c>
      <c r="C26" s="1" t="s">
        <v>263</v>
      </c>
      <c r="D26" s="1" t="s">
        <v>613</v>
      </c>
      <c r="E26" s="1" t="s">
        <v>614</v>
      </c>
      <c r="G26" s="1" t="s">
        <v>615</v>
      </c>
      <c r="I26" s="1">
        <f>105+50</f>
        <v>155</v>
      </c>
      <c r="J26" s="2">
        <f t="shared" ref="J26" si="7">I26*3.14*0.1*0.1/4</f>
        <v>1.2167500000000002</v>
      </c>
      <c r="K26" s="2">
        <f t="shared" si="1"/>
        <v>3.6502500000000007</v>
      </c>
      <c r="L26" s="2">
        <v>4.2300000000000004</v>
      </c>
      <c r="M26" s="1">
        <v>33.86</v>
      </c>
      <c r="N26" s="3">
        <f t="shared" si="2"/>
        <v>1.7967365623154168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3"/>
  <sheetViews>
    <sheetView workbookViewId="0">
      <pane ySplit="1" topLeftCell="A2" activePane="bottomLeft" state="frozen"/>
      <selection pane="bottomLeft" activeCell="E12" sqref="E12"/>
    </sheetView>
  </sheetViews>
  <sheetFormatPr defaultRowHeight="14.4" x14ac:dyDescent="0.3"/>
  <cols>
    <col min="1" max="1" width="7.6640625" style="1" customWidth="1"/>
    <col min="2" max="2" width="17.88671875" style="1" customWidth="1"/>
    <col min="3" max="3" width="8.88671875" style="1"/>
    <col min="4" max="4" width="14.6640625" style="1" customWidth="1"/>
    <col min="5" max="5" width="56.5546875" style="1" customWidth="1"/>
    <col min="6" max="6" width="20.44140625" style="1" customWidth="1"/>
    <col min="7" max="7" width="22.21875" style="1" customWidth="1"/>
    <col min="8" max="8" width="26.88671875" style="1" customWidth="1"/>
    <col min="9" max="9" width="13.21875" style="1" customWidth="1"/>
    <col min="10" max="10" width="11.109375" style="1" customWidth="1"/>
    <col min="11" max="13" width="8.88671875" style="1"/>
    <col min="14" max="14" width="12.44140625" style="1" customWidth="1"/>
    <col min="15" max="15" width="11.6640625" style="1" customWidth="1"/>
    <col min="16" max="16" width="9.44140625" style="1" customWidth="1"/>
    <col min="17" max="16384" width="8.88671875" style="1"/>
  </cols>
  <sheetData>
    <row r="1" spans="1:15" ht="57.6" x14ac:dyDescent="0.3">
      <c r="A1" s="1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16</v>
      </c>
      <c r="J1" s="1" t="s">
        <v>9</v>
      </c>
      <c r="K1" s="1" t="s">
        <v>10</v>
      </c>
      <c r="L1" s="1" t="s">
        <v>24</v>
      </c>
      <c r="M1" s="1" t="s">
        <v>17</v>
      </c>
      <c r="N1" s="1" t="s">
        <v>18</v>
      </c>
      <c r="O1" s="1" t="s">
        <v>7</v>
      </c>
    </row>
    <row r="2" spans="1:15" ht="28.8" x14ac:dyDescent="0.3">
      <c r="A2" s="8" t="s">
        <v>290</v>
      </c>
      <c r="B2" s="1" t="s">
        <v>326</v>
      </c>
      <c r="C2" s="1" t="s">
        <v>26</v>
      </c>
      <c r="D2" s="1" t="s">
        <v>27</v>
      </c>
      <c r="E2" s="1" t="s">
        <v>295</v>
      </c>
      <c r="G2" s="1" t="s">
        <v>292</v>
      </c>
      <c r="I2" s="1">
        <v>891</v>
      </c>
      <c r="J2" s="2">
        <f>I2*3.14*0.15*0.15/4</f>
        <v>15.737287499999999</v>
      </c>
      <c r="K2" s="2">
        <f t="shared" ref="K2" si="0">3*J2</f>
        <v>47.211862499999995</v>
      </c>
      <c r="L2" s="2">
        <v>2.2999999999999998</v>
      </c>
      <c r="M2" s="1">
        <v>40.68</v>
      </c>
      <c r="N2" s="3">
        <f>K2/(M2*60*0.001)</f>
        <v>19.342782079646014</v>
      </c>
    </row>
    <row r="3" spans="1:15" ht="28.8" x14ac:dyDescent="0.3">
      <c r="A3" s="8" t="s">
        <v>291</v>
      </c>
      <c r="B3" s="1" t="s">
        <v>327</v>
      </c>
      <c r="C3" s="1" t="s">
        <v>26</v>
      </c>
      <c r="D3" s="1" t="s">
        <v>294</v>
      </c>
      <c r="E3" s="1" t="s">
        <v>71</v>
      </c>
      <c r="G3" s="1" t="s">
        <v>76</v>
      </c>
      <c r="I3" s="1">
        <v>1201</v>
      </c>
      <c r="J3" s="2">
        <f>I3*3.14*0.15*0.15/4</f>
        <v>21.2126625</v>
      </c>
      <c r="K3" s="2">
        <f t="shared" ref="K3" si="1">3*J3</f>
        <v>63.637987500000001</v>
      </c>
      <c r="L3" s="2">
        <v>1.64</v>
      </c>
      <c r="M3" s="1">
        <v>28.98</v>
      </c>
      <c r="N3" s="3">
        <f>K3/(M3*60*0.001)</f>
        <v>36.598796583850934</v>
      </c>
    </row>
    <row r="4" spans="1:15" ht="43.2" x14ac:dyDescent="0.3">
      <c r="A4" s="8" t="s">
        <v>11</v>
      </c>
      <c r="B4" s="1" t="s">
        <v>68</v>
      </c>
      <c r="C4" s="1" t="s">
        <v>26</v>
      </c>
      <c r="D4" s="1" t="s">
        <v>25</v>
      </c>
      <c r="E4" s="1" t="s">
        <v>47</v>
      </c>
      <c r="G4" s="1" t="s">
        <v>46</v>
      </c>
      <c r="I4" s="1">
        <f>282+115+180+101+178+40</f>
        <v>896</v>
      </c>
      <c r="J4" s="2">
        <f>I4*3.14*0.15*0.15/4</f>
        <v>15.8256</v>
      </c>
      <c r="K4" s="2">
        <f t="shared" ref="K4" si="2">3*J4</f>
        <v>47.476799999999997</v>
      </c>
      <c r="L4" s="2">
        <v>1.74</v>
      </c>
      <c r="M4" s="1">
        <v>31.78</v>
      </c>
      <c r="N4" s="3">
        <f>K4/(M4*60*0.001)</f>
        <v>24.89867841409691</v>
      </c>
    </row>
    <row r="5" spans="1:15" ht="43.2" x14ac:dyDescent="0.3">
      <c r="A5" s="8" t="s">
        <v>12</v>
      </c>
      <c r="B5" s="1" t="s">
        <v>45</v>
      </c>
      <c r="C5" s="1" t="s">
        <v>26</v>
      </c>
      <c r="D5" s="1" t="s">
        <v>66</v>
      </c>
      <c r="E5" s="1" t="s">
        <v>48</v>
      </c>
      <c r="G5" s="1" t="s">
        <v>46</v>
      </c>
      <c r="I5" s="1">
        <f>178+40</f>
        <v>218</v>
      </c>
      <c r="J5" s="2">
        <f>I5*3.14*0.15*0.15/4</f>
        <v>3.8504249999999995</v>
      </c>
      <c r="K5" s="2">
        <f t="shared" ref="K5" si="3">3*J5</f>
        <v>11.551274999999999</v>
      </c>
      <c r="L5" s="2">
        <v>1.74</v>
      </c>
      <c r="M5" s="1">
        <v>31.78</v>
      </c>
      <c r="N5" s="3">
        <f>K5/(M5*60*0.001)</f>
        <v>6.0579373820012572</v>
      </c>
    </row>
    <row r="6" spans="1:15" ht="28.8" x14ac:dyDescent="0.3">
      <c r="A6" s="8" t="s">
        <v>23</v>
      </c>
      <c r="B6" s="1" t="s">
        <v>61</v>
      </c>
      <c r="C6" s="1" t="s">
        <v>19</v>
      </c>
      <c r="D6" s="1" t="s">
        <v>66</v>
      </c>
      <c r="G6" s="1" t="s">
        <v>63</v>
      </c>
      <c r="I6" s="1">
        <f>101+17</f>
        <v>118</v>
      </c>
      <c r="J6" s="2">
        <f t="shared" ref="J6:J13" si="4">I6*3.14*0.1*0.1/4</f>
        <v>0.92630000000000023</v>
      </c>
      <c r="K6" s="2">
        <f t="shared" ref="K6:K13" si="5">3*J6</f>
        <v>2.7789000000000006</v>
      </c>
      <c r="L6" s="2">
        <v>3.72</v>
      </c>
      <c r="M6" s="1">
        <v>29.8</v>
      </c>
      <c r="N6" s="3">
        <f t="shared" ref="N6:N13" si="6">K6/(M6*60*0.001)</f>
        <v>1.5541946308724834</v>
      </c>
    </row>
    <row r="7" spans="1:15" ht="28.8" x14ac:dyDescent="0.3">
      <c r="A7" s="8" t="s">
        <v>13</v>
      </c>
      <c r="B7" s="1" t="s">
        <v>62</v>
      </c>
      <c r="C7" s="1" t="s">
        <v>19</v>
      </c>
      <c r="D7" s="1" t="s">
        <v>66</v>
      </c>
      <c r="G7" s="1" t="s">
        <v>64</v>
      </c>
      <c r="I7" s="1">
        <f>132+117+90</f>
        <v>339</v>
      </c>
      <c r="J7" s="2">
        <f t="shared" si="4"/>
        <v>2.6611500000000006</v>
      </c>
      <c r="K7" s="2">
        <f t="shared" si="5"/>
        <v>7.9834500000000013</v>
      </c>
      <c r="L7" s="2">
        <v>3.31</v>
      </c>
      <c r="M7" s="1">
        <v>26.52</v>
      </c>
      <c r="N7" s="3">
        <f t="shared" si="6"/>
        <v>5.0172511312217196</v>
      </c>
    </row>
    <row r="8" spans="1:15" ht="43.2" x14ac:dyDescent="0.3">
      <c r="A8" s="8" t="s">
        <v>20</v>
      </c>
      <c r="B8" s="1" t="s">
        <v>55</v>
      </c>
      <c r="C8" s="1" t="s">
        <v>19</v>
      </c>
      <c r="D8" s="1" t="s">
        <v>67</v>
      </c>
      <c r="E8" s="1" t="s">
        <v>75</v>
      </c>
      <c r="G8" s="1" t="s">
        <v>65</v>
      </c>
      <c r="I8" s="1">
        <f>52+13+12+173+150+219+127</f>
        <v>746</v>
      </c>
      <c r="J8" s="2">
        <f t="shared" si="4"/>
        <v>5.8561000000000014</v>
      </c>
      <c r="K8" s="2">
        <f t="shared" si="5"/>
        <v>17.568300000000004</v>
      </c>
      <c r="L8" s="2">
        <v>2.64</v>
      </c>
      <c r="M8" s="1">
        <v>21.17</v>
      </c>
      <c r="N8" s="3">
        <f t="shared" si="6"/>
        <v>13.831128956069914</v>
      </c>
    </row>
    <row r="9" spans="1:15" ht="43.2" x14ac:dyDescent="0.3">
      <c r="A9" s="8" t="s">
        <v>21</v>
      </c>
      <c r="B9" s="1" t="s">
        <v>57</v>
      </c>
      <c r="C9" s="1" t="s">
        <v>19</v>
      </c>
      <c r="D9" s="1" t="s">
        <v>67</v>
      </c>
      <c r="E9" s="1" t="s">
        <v>75</v>
      </c>
      <c r="G9" s="1" t="s">
        <v>49</v>
      </c>
      <c r="I9" s="1">
        <f>52+13+12+173+150+219+127+164+186+178</f>
        <v>1274</v>
      </c>
      <c r="J9" s="2">
        <f t="shared" si="4"/>
        <v>10.000900000000001</v>
      </c>
      <c r="K9" s="2">
        <f t="shared" si="5"/>
        <v>30.002700000000004</v>
      </c>
      <c r="L9" s="2">
        <v>2.2799999999999998</v>
      </c>
      <c r="M9" s="1">
        <v>18.23</v>
      </c>
      <c r="N9" s="3">
        <f t="shared" si="6"/>
        <v>27.429786066922663</v>
      </c>
    </row>
    <row r="10" spans="1:15" ht="43.2" x14ac:dyDescent="0.3">
      <c r="A10" s="8" t="s">
        <v>69</v>
      </c>
      <c r="B10" s="1" t="s">
        <v>56</v>
      </c>
      <c r="C10" s="1" t="s">
        <v>19</v>
      </c>
      <c r="D10" s="1" t="s">
        <v>67</v>
      </c>
      <c r="E10" s="1" t="s">
        <v>74</v>
      </c>
      <c r="G10" s="1" t="s">
        <v>65</v>
      </c>
      <c r="I10" s="1">
        <f>275+178+186+164</f>
        <v>803</v>
      </c>
      <c r="J10" s="2">
        <f t="shared" si="4"/>
        <v>6.3035500000000013</v>
      </c>
      <c r="K10" s="2">
        <f t="shared" si="5"/>
        <v>18.910650000000004</v>
      </c>
      <c r="L10" s="2">
        <v>2.59</v>
      </c>
      <c r="M10" s="1">
        <v>20.74</v>
      </c>
      <c r="N10" s="3">
        <f t="shared" si="6"/>
        <v>15.196600771456128</v>
      </c>
    </row>
    <row r="11" spans="1:15" ht="43.2" x14ac:dyDescent="0.3">
      <c r="A11" s="8" t="s">
        <v>70</v>
      </c>
      <c r="B11" s="1" t="s">
        <v>58</v>
      </c>
      <c r="C11" s="1" t="s">
        <v>19</v>
      </c>
      <c r="D11" s="1" t="s">
        <v>67</v>
      </c>
      <c r="E11" s="1" t="s">
        <v>74</v>
      </c>
      <c r="G11" s="1" t="s">
        <v>50</v>
      </c>
      <c r="I11" s="1">
        <f>275+178+186+164+150+219+127</f>
        <v>1299</v>
      </c>
      <c r="J11" s="2">
        <f t="shared" si="4"/>
        <v>10.197150000000001</v>
      </c>
      <c r="K11" s="2">
        <f t="shared" si="5"/>
        <v>30.591450000000002</v>
      </c>
      <c r="L11" s="2">
        <v>2.2400000000000002</v>
      </c>
      <c r="M11" s="1">
        <v>17.920000000000002</v>
      </c>
      <c r="N11" s="3">
        <f t="shared" si="6"/>
        <v>28.451869419642854</v>
      </c>
    </row>
    <row r="12" spans="1:15" ht="43.2" x14ac:dyDescent="0.3">
      <c r="A12" s="8" t="s">
        <v>14</v>
      </c>
      <c r="B12" s="1" t="s">
        <v>59</v>
      </c>
      <c r="C12" s="1" t="s">
        <v>19</v>
      </c>
      <c r="D12" s="1" t="s">
        <v>54</v>
      </c>
      <c r="E12" s="1" t="s">
        <v>72</v>
      </c>
      <c r="G12" s="1" t="s">
        <v>51</v>
      </c>
      <c r="I12" s="1">
        <f>150+135</f>
        <v>285</v>
      </c>
      <c r="J12" s="2">
        <f t="shared" si="4"/>
        <v>2.2372500000000004</v>
      </c>
      <c r="K12" s="2">
        <f t="shared" si="5"/>
        <v>6.7117500000000012</v>
      </c>
      <c r="L12" s="2">
        <v>3.08</v>
      </c>
      <c r="M12" s="1">
        <v>24.68</v>
      </c>
      <c r="N12" s="3">
        <f t="shared" si="6"/>
        <v>4.5325162074554308</v>
      </c>
    </row>
    <row r="13" spans="1:15" ht="43.2" x14ac:dyDescent="0.3">
      <c r="A13" s="8" t="s">
        <v>15</v>
      </c>
      <c r="B13" s="1" t="s">
        <v>60</v>
      </c>
      <c r="C13" s="1" t="s">
        <v>19</v>
      </c>
      <c r="D13" s="1" t="s">
        <v>53</v>
      </c>
      <c r="E13" s="1" t="s">
        <v>73</v>
      </c>
      <c r="G13" s="1" t="s">
        <v>52</v>
      </c>
      <c r="I13" s="1">
        <v>83</v>
      </c>
      <c r="J13" s="2">
        <f t="shared" si="4"/>
        <v>0.65155000000000007</v>
      </c>
      <c r="K13" s="2">
        <f t="shared" si="5"/>
        <v>1.9546500000000002</v>
      </c>
      <c r="L13" s="2">
        <v>3.52</v>
      </c>
      <c r="M13" s="1">
        <v>28.21</v>
      </c>
      <c r="N13" s="3">
        <f t="shared" si="6"/>
        <v>1.1548209854661469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4"/>
  <sheetViews>
    <sheetView workbookViewId="0">
      <pane ySplit="1" topLeftCell="A2" activePane="bottomLeft" state="frozen"/>
      <selection pane="bottomLeft" activeCell="A3" sqref="A3"/>
    </sheetView>
  </sheetViews>
  <sheetFormatPr defaultRowHeight="14.4" x14ac:dyDescent="0.3"/>
  <cols>
    <col min="1" max="1" width="7.6640625" style="1" customWidth="1"/>
    <col min="2" max="2" width="17.88671875" style="1" customWidth="1"/>
    <col min="3" max="3" width="8.88671875" style="1"/>
    <col min="4" max="4" width="14.6640625" style="1" customWidth="1"/>
    <col min="5" max="5" width="56.5546875" style="1" customWidth="1"/>
    <col min="6" max="6" width="20.44140625" style="1" customWidth="1"/>
    <col min="7" max="7" width="22.21875" style="1" customWidth="1"/>
    <col min="8" max="8" width="26.88671875" style="1" customWidth="1"/>
    <col min="9" max="9" width="13.21875" style="1" customWidth="1"/>
    <col min="10" max="10" width="11.109375" style="1" customWidth="1"/>
    <col min="11" max="13" width="8.88671875" style="1"/>
    <col min="14" max="14" width="12.44140625" style="1" customWidth="1"/>
    <col min="15" max="15" width="11.6640625" style="1" customWidth="1"/>
    <col min="16" max="16" width="9.44140625" style="1" customWidth="1"/>
    <col min="17" max="16384" width="8.88671875" style="1"/>
  </cols>
  <sheetData>
    <row r="1" spans="1:15" ht="57.6" x14ac:dyDescent="0.3">
      <c r="A1" s="1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16</v>
      </c>
      <c r="J1" s="1" t="s">
        <v>9</v>
      </c>
      <c r="K1" s="1" t="s">
        <v>10</v>
      </c>
      <c r="L1" s="1" t="s">
        <v>24</v>
      </c>
      <c r="M1" s="1" t="s">
        <v>17</v>
      </c>
      <c r="N1" s="1" t="s">
        <v>18</v>
      </c>
      <c r="O1" s="1" t="s">
        <v>7</v>
      </c>
    </row>
    <row r="2" spans="1:15" ht="57.6" x14ac:dyDescent="0.3">
      <c r="A2" s="9" t="s">
        <v>290</v>
      </c>
      <c r="B2" s="1" t="s">
        <v>215</v>
      </c>
      <c r="C2" s="1" t="s">
        <v>26</v>
      </c>
      <c r="D2" s="1" t="s">
        <v>214</v>
      </c>
      <c r="E2" s="1" t="s">
        <v>329</v>
      </c>
      <c r="G2" s="1" t="s">
        <v>186</v>
      </c>
      <c r="I2" s="1">
        <f>315+1298</f>
        <v>1613</v>
      </c>
      <c r="J2" s="2">
        <f>I2*3.14*0.15*0.15/4</f>
        <v>28.489612500000003</v>
      </c>
      <c r="K2" s="2">
        <f t="shared" ref="K2:K11" si="0">3*J2</f>
        <v>85.468837500000006</v>
      </c>
      <c r="L2" s="1">
        <v>1.77</v>
      </c>
      <c r="M2" s="1">
        <v>31.23</v>
      </c>
      <c r="N2" s="3">
        <f t="shared" ref="N2:N11" si="1">K2/(M2*60*0.001)</f>
        <v>45.612572046109513</v>
      </c>
    </row>
    <row r="3" spans="1:15" ht="43.2" x14ac:dyDescent="0.3">
      <c r="A3" s="9" t="s">
        <v>291</v>
      </c>
      <c r="B3" s="1" t="s">
        <v>330</v>
      </c>
      <c r="C3" s="1" t="s">
        <v>26</v>
      </c>
      <c r="D3" s="1" t="s">
        <v>328</v>
      </c>
      <c r="E3" s="1" t="s">
        <v>226</v>
      </c>
      <c r="G3" s="1" t="s">
        <v>216</v>
      </c>
      <c r="I3" s="1">
        <f>49+163+175+64+109+17+72</f>
        <v>649</v>
      </c>
      <c r="J3" s="2">
        <f>I3*3.14*0.15*0.15/4</f>
        <v>11.462962500000001</v>
      </c>
      <c r="K3" s="2">
        <f t="shared" ref="K3" si="2">3*J3</f>
        <v>34.388887500000003</v>
      </c>
      <c r="L3" s="1">
        <v>1.65</v>
      </c>
      <c r="M3" s="1">
        <v>29.09</v>
      </c>
      <c r="N3" s="3">
        <f t="shared" ref="N3" si="3">K3/(M3*60*0.001)</f>
        <v>19.702582502578206</v>
      </c>
    </row>
    <row r="4" spans="1:15" ht="43.2" x14ac:dyDescent="0.3">
      <c r="A4" s="8" t="s">
        <v>11</v>
      </c>
      <c r="B4" s="1" t="s">
        <v>217</v>
      </c>
      <c r="C4" s="1" t="s">
        <v>93</v>
      </c>
      <c r="D4" s="1" t="s">
        <v>219</v>
      </c>
      <c r="E4" s="1" t="s">
        <v>227</v>
      </c>
      <c r="G4" s="1" t="s">
        <v>118</v>
      </c>
      <c r="I4" s="1">
        <f>65+115+41</f>
        <v>221</v>
      </c>
      <c r="J4" s="2">
        <f>65*3.14*0.15*0.15/4+(115+41)*3.14*0.25*0.1*0.1</f>
        <v>2.3726625000000006</v>
      </c>
      <c r="K4" s="2">
        <f t="shared" si="0"/>
        <v>7.1179875000000017</v>
      </c>
      <c r="L4" s="1">
        <v>3.14</v>
      </c>
      <c r="M4" s="1">
        <v>24.68</v>
      </c>
      <c r="N4" s="3">
        <f t="shared" si="1"/>
        <v>4.8068527147487856</v>
      </c>
    </row>
    <row r="5" spans="1:15" ht="28.8" x14ac:dyDescent="0.3">
      <c r="A5" s="8" t="s">
        <v>12</v>
      </c>
      <c r="B5" s="1" t="s">
        <v>218</v>
      </c>
      <c r="C5" s="1" t="s">
        <v>19</v>
      </c>
      <c r="D5" s="1" t="s">
        <v>339</v>
      </c>
      <c r="E5" s="1" t="s">
        <v>228</v>
      </c>
      <c r="G5" s="1" t="s">
        <v>118</v>
      </c>
      <c r="I5" s="1">
        <f>173+126</f>
        <v>299</v>
      </c>
      <c r="J5" s="2">
        <f>I5*3.14*0.25*0.1*0.1</f>
        <v>2.3471500000000005</v>
      </c>
      <c r="K5" s="2">
        <f t="shared" si="0"/>
        <v>7.0414500000000011</v>
      </c>
      <c r="L5" s="1">
        <v>2.75</v>
      </c>
      <c r="M5" s="1">
        <v>21.55</v>
      </c>
      <c r="N5" s="3">
        <f t="shared" si="1"/>
        <v>5.4458236658932728</v>
      </c>
    </row>
    <row r="6" spans="1:15" ht="28.8" x14ac:dyDescent="0.3">
      <c r="A6" s="8" t="s">
        <v>23</v>
      </c>
      <c r="B6" s="1" t="s">
        <v>220</v>
      </c>
      <c r="C6" s="1" t="s">
        <v>19</v>
      </c>
      <c r="D6" s="1" t="s">
        <v>219</v>
      </c>
      <c r="E6" s="1" t="s">
        <v>227</v>
      </c>
      <c r="G6" s="1" t="s">
        <v>118</v>
      </c>
      <c r="I6" s="1">
        <v>142</v>
      </c>
      <c r="J6" s="2">
        <f t="shared" ref="J6:J9" si="4">I6*3.14*0.25*0.1*0.1</f>
        <v>1.1147</v>
      </c>
      <c r="K6" s="2">
        <f t="shared" si="0"/>
        <v>3.3441000000000001</v>
      </c>
      <c r="L6" s="1">
        <v>3.32</v>
      </c>
      <c r="M6" s="1">
        <v>26.59</v>
      </c>
      <c r="N6" s="3">
        <f t="shared" si="1"/>
        <v>2.0960887551711167</v>
      </c>
    </row>
    <row r="7" spans="1:15" ht="28.8" x14ac:dyDescent="0.3">
      <c r="A7" s="8" t="s">
        <v>13</v>
      </c>
      <c r="B7" s="1" t="s">
        <v>221</v>
      </c>
      <c r="C7" s="1" t="s">
        <v>19</v>
      </c>
      <c r="D7" s="1" t="s">
        <v>219</v>
      </c>
      <c r="E7" s="1" t="s">
        <v>227</v>
      </c>
      <c r="G7" s="1" t="s">
        <v>118</v>
      </c>
      <c r="I7" s="1">
        <v>128</v>
      </c>
      <c r="J7" s="2">
        <f t="shared" si="4"/>
        <v>1.0048000000000001</v>
      </c>
      <c r="K7" s="2">
        <f t="shared" si="0"/>
        <v>3.0144000000000002</v>
      </c>
      <c r="L7" s="1">
        <v>3.35</v>
      </c>
      <c r="M7" s="1">
        <v>26.84</v>
      </c>
      <c r="N7" s="3">
        <f t="shared" si="1"/>
        <v>1.8718330849478391</v>
      </c>
    </row>
    <row r="8" spans="1:15" ht="28.8" x14ac:dyDescent="0.3">
      <c r="A8" s="8" t="s">
        <v>187</v>
      </c>
      <c r="B8" s="1" t="s">
        <v>222</v>
      </c>
      <c r="C8" s="1" t="s">
        <v>19</v>
      </c>
      <c r="D8" s="1" t="s">
        <v>219</v>
      </c>
      <c r="E8" s="1" t="s">
        <v>229</v>
      </c>
      <c r="G8" s="1" t="s">
        <v>224</v>
      </c>
      <c r="I8" s="1">
        <f>20+172+114+185+33+60</f>
        <v>584</v>
      </c>
      <c r="J8" s="2">
        <f t="shared" si="4"/>
        <v>4.5844000000000005</v>
      </c>
      <c r="K8" s="2">
        <f t="shared" si="0"/>
        <v>13.753200000000001</v>
      </c>
      <c r="L8" s="1">
        <v>2.42</v>
      </c>
      <c r="M8" s="1">
        <v>18.989999999999998</v>
      </c>
      <c r="N8" s="3">
        <f t="shared" si="1"/>
        <v>12.070563454449712</v>
      </c>
    </row>
    <row r="9" spans="1:15" ht="28.8" x14ac:dyDescent="0.3">
      <c r="A9" s="8" t="s">
        <v>159</v>
      </c>
      <c r="B9" s="1" t="s">
        <v>223</v>
      </c>
      <c r="C9" s="1" t="s">
        <v>19</v>
      </c>
      <c r="D9" s="1" t="s">
        <v>219</v>
      </c>
      <c r="E9" s="1" t="s">
        <v>230</v>
      </c>
      <c r="G9" s="1" t="s">
        <v>225</v>
      </c>
      <c r="I9" s="1">
        <f>34+172+114+185+33+60</f>
        <v>598</v>
      </c>
      <c r="J9" s="2">
        <f t="shared" si="4"/>
        <v>4.694300000000001</v>
      </c>
      <c r="K9" s="2">
        <f t="shared" si="0"/>
        <v>14.082900000000002</v>
      </c>
      <c r="L9" s="1">
        <v>2.4300000000000002</v>
      </c>
      <c r="M9" s="1">
        <v>19.09</v>
      </c>
      <c r="N9" s="3">
        <f t="shared" si="1"/>
        <v>12.295180722891565</v>
      </c>
    </row>
    <row r="10" spans="1:15" ht="43.2" x14ac:dyDescent="0.3">
      <c r="A10" s="8" t="s">
        <v>14</v>
      </c>
      <c r="B10" s="1" t="s">
        <v>331</v>
      </c>
      <c r="C10" s="1" t="s">
        <v>26</v>
      </c>
      <c r="D10" s="1" t="s">
        <v>219</v>
      </c>
      <c r="E10" s="1" t="s">
        <v>231</v>
      </c>
      <c r="G10" s="1" t="s">
        <v>232</v>
      </c>
      <c r="I10" s="1">
        <f>48+31+39+117+136+87+228+121+70+25+166+60+164+238+140</f>
        <v>1670</v>
      </c>
      <c r="J10" s="2">
        <f>I10*3.14*0.15*0.15/4</f>
        <v>29.496375</v>
      </c>
      <c r="K10" s="2">
        <f t="shared" si="0"/>
        <v>88.489125000000001</v>
      </c>
      <c r="L10" s="1">
        <v>1.44</v>
      </c>
      <c r="M10" s="1">
        <v>25.43</v>
      </c>
      <c r="N10" s="3">
        <f t="shared" si="1"/>
        <v>57.995232009437672</v>
      </c>
    </row>
    <row r="11" spans="1:15" ht="28.8" x14ac:dyDescent="0.3">
      <c r="A11" s="8" t="s">
        <v>15</v>
      </c>
      <c r="B11" s="1" t="s">
        <v>234</v>
      </c>
      <c r="C11" s="1" t="s">
        <v>26</v>
      </c>
      <c r="D11" s="1" t="s">
        <v>236</v>
      </c>
      <c r="E11" s="1" t="s">
        <v>237</v>
      </c>
      <c r="G11" s="1" t="s">
        <v>235</v>
      </c>
      <c r="H11" s="1" t="s">
        <v>233</v>
      </c>
      <c r="I11" s="1">
        <f>57+16+75+183+23+270</f>
        <v>624</v>
      </c>
      <c r="J11" s="2">
        <f>I11*3.14*0.15*0.15/4</f>
        <v>11.0214</v>
      </c>
      <c r="K11" s="2">
        <f t="shared" si="0"/>
        <v>33.0642</v>
      </c>
      <c r="L11" s="1">
        <v>1.59</v>
      </c>
      <c r="M11" s="1">
        <v>28.18</v>
      </c>
      <c r="N11" s="3">
        <f t="shared" si="1"/>
        <v>19.555358410220013</v>
      </c>
    </row>
    <row r="12" spans="1:15" ht="57.6" x14ac:dyDescent="0.3">
      <c r="A12" s="8" t="s">
        <v>299</v>
      </c>
      <c r="B12" s="1" t="s">
        <v>332</v>
      </c>
      <c r="C12" s="1" t="s">
        <v>26</v>
      </c>
      <c r="D12" s="1" t="s">
        <v>338</v>
      </c>
      <c r="E12" s="1" t="s">
        <v>302</v>
      </c>
      <c r="G12" s="1" t="s">
        <v>301</v>
      </c>
      <c r="I12" s="1">
        <v>2074</v>
      </c>
      <c r="J12" s="2">
        <f>I12*3.14*0.15*0.15/4</f>
        <v>36.632024999999999</v>
      </c>
      <c r="K12" s="2">
        <f t="shared" ref="K12" si="5">3*J12</f>
        <v>109.896075</v>
      </c>
      <c r="L12" s="1">
        <v>2.0299999999999998</v>
      </c>
      <c r="M12" s="1">
        <v>35.020000000000003</v>
      </c>
      <c r="N12" s="3">
        <f>K12/(M12*60*0.001)</f>
        <v>52.301577669902898</v>
      </c>
    </row>
    <row r="13" spans="1:15" ht="28.8" x14ac:dyDescent="0.3">
      <c r="A13" s="8" t="s">
        <v>300</v>
      </c>
      <c r="B13" s="1" t="s">
        <v>333</v>
      </c>
      <c r="C13" s="1" t="s">
        <v>26</v>
      </c>
      <c r="D13" s="1" t="s">
        <v>332</v>
      </c>
      <c r="E13" s="1" t="s">
        <v>337</v>
      </c>
      <c r="G13" s="1" t="s">
        <v>212</v>
      </c>
      <c r="I13" s="1">
        <f>1275+36</f>
        <v>1311</v>
      </c>
      <c r="J13" s="2">
        <f>I13*3.14*0.15*0.15/4</f>
        <v>23.155537499999998</v>
      </c>
      <c r="K13" s="2">
        <f t="shared" ref="K13" si="6">3*J13</f>
        <v>69.466612499999997</v>
      </c>
      <c r="L13" s="1">
        <v>1.55</v>
      </c>
      <c r="M13" s="1">
        <v>27.34</v>
      </c>
      <c r="N13" s="3">
        <f>K13/(M13*60*0.001)</f>
        <v>42.347361923920992</v>
      </c>
    </row>
    <row r="14" spans="1:15" ht="28.8" x14ac:dyDescent="0.3">
      <c r="A14" s="8" t="s">
        <v>99</v>
      </c>
      <c r="B14" s="1" t="s">
        <v>238</v>
      </c>
      <c r="C14" s="1" t="s">
        <v>19</v>
      </c>
      <c r="D14" s="1" t="s">
        <v>236</v>
      </c>
      <c r="E14" s="1" t="s">
        <v>275</v>
      </c>
      <c r="G14" s="1" t="s">
        <v>212</v>
      </c>
      <c r="H14" s="1" t="s">
        <v>233</v>
      </c>
      <c r="I14" s="1">
        <f>134+36</f>
        <v>170</v>
      </c>
      <c r="J14" s="2">
        <f>I14*3.14*0.25*0.1*0.1</f>
        <v>1.3345000000000002</v>
      </c>
      <c r="K14" s="2">
        <f t="shared" ref="K14" si="7">3*J14</f>
        <v>4.0035000000000007</v>
      </c>
      <c r="L14" s="1">
        <v>2.57</v>
      </c>
      <c r="M14" s="1">
        <v>20.56</v>
      </c>
      <c r="N14" s="3">
        <f>K14/(M14*60*0.001)</f>
        <v>3.2453793774319073</v>
      </c>
    </row>
    <row r="15" spans="1:15" ht="28.8" x14ac:dyDescent="0.3">
      <c r="A15" s="8" t="s">
        <v>101</v>
      </c>
      <c r="B15" s="1" t="s">
        <v>239</v>
      </c>
      <c r="C15" s="1" t="s">
        <v>19</v>
      </c>
      <c r="D15" s="1" t="s">
        <v>247</v>
      </c>
      <c r="E15" s="1" t="s">
        <v>252</v>
      </c>
      <c r="G15" s="1" t="s">
        <v>232</v>
      </c>
      <c r="I15" s="1">
        <f>36+119+179+28+232+154+57+16</f>
        <v>821</v>
      </c>
      <c r="J15" s="2">
        <f t="shared" ref="J15:J24" si="8">I15*3.14*0.25*0.1*0.1</f>
        <v>6.4448500000000015</v>
      </c>
      <c r="K15" s="2">
        <f t="shared" ref="K15:K24" si="9">3*J15</f>
        <v>19.334550000000004</v>
      </c>
      <c r="L15" s="1">
        <v>1.9</v>
      </c>
      <c r="M15" s="1">
        <v>15.18</v>
      </c>
      <c r="N15" s="3">
        <f t="shared" ref="N15:N24" si="10">K15/(M15*60*0.001)</f>
        <v>21.22809617918314</v>
      </c>
    </row>
    <row r="16" spans="1:15" ht="43.2" x14ac:dyDescent="0.3">
      <c r="A16" s="8" t="s">
        <v>102</v>
      </c>
      <c r="B16" s="1" t="s">
        <v>241</v>
      </c>
      <c r="C16" s="1" t="s">
        <v>19</v>
      </c>
      <c r="D16" s="1" t="s">
        <v>336</v>
      </c>
      <c r="E16" s="1" t="s">
        <v>277</v>
      </c>
      <c r="G16" s="1" t="s">
        <v>276</v>
      </c>
      <c r="I16" s="1">
        <f>202+342+257+96+189+147</f>
        <v>1233</v>
      </c>
      <c r="J16" s="2">
        <f t="shared" si="8"/>
        <v>9.6790500000000019</v>
      </c>
      <c r="K16" s="2">
        <f t="shared" si="9"/>
        <v>29.037150000000004</v>
      </c>
      <c r="L16" s="1">
        <v>1.61</v>
      </c>
      <c r="M16" s="1">
        <v>12.9</v>
      </c>
      <c r="N16" s="3">
        <f t="shared" si="10"/>
        <v>37.515697674418611</v>
      </c>
    </row>
    <row r="17" spans="1:14" ht="43.2" x14ac:dyDescent="0.3">
      <c r="A17" s="8" t="s">
        <v>103</v>
      </c>
      <c r="B17" s="1" t="s">
        <v>240</v>
      </c>
      <c r="C17" s="1" t="s">
        <v>19</v>
      </c>
      <c r="D17" s="1" t="s">
        <v>334</v>
      </c>
      <c r="F17" s="1" t="s">
        <v>335</v>
      </c>
      <c r="G17" s="1" t="s">
        <v>248</v>
      </c>
      <c r="I17" s="1">
        <f>108+202+175</f>
        <v>485</v>
      </c>
      <c r="J17" s="2">
        <f t="shared" si="8"/>
        <v>3.8072500000000007</v>
      </c>
      <c r="K17" s="2">
        <f t="shared" si="9"/>
        <v>11.421750000000003</v>
      </c>
      <c r="L17" s="1">
        <v>2.06</v>
      </c>
      <c r="M17" s="1">
        <v>16.54</v>
      </c>
      <c r="N17" s="3">
        <f t="shared" si="10"/>
        <v>11.509220072551393</v>
      </c>
    </row>
    <row r="18" spans="1:14" ht="28.8" x14ac:dyDescent="0.3">
      <c r="A18" s="8" t="s">
        <v>104</v>
      </c>
      <c r="B18" s="1" t="s">
        <v>242</v>
      </c>
      <c r="C18" s="1" t="s">
        <v>19</v>
      </c>
      <c r="D18" s="1" t="s">
        <v>219</v>
      </c>
      <c r="E18" s="1" t="s">
        <v>278</v>
      </c>
      <c r="G18" s="1" t="s">
        <v>249</v>
      </c>
      <c r="I18" s="1">
        <f>35+90+44+207+187+23</f>
        <v>586</v>
      </c>
      <c r="J18" s="2">
        <f t="shared" si="8"/>
        <v>4.6001000000000003</v>
      </c>
      <c r="K18" s="2">
        <f t="shared" si="9"/>
        <v>13.8003</v>
      </c>
      <c r="L18" s="1">
        <v>2.34</v>
      </c>
      <c r="M18" s="1">
        <v>18.71</v>
      </c>
      <c r="N18" s="3">
        <f t="shared" si="10"/>
        <v>12.293158738642434</v>
      </c>
    </row>
    <row r="19" spans="1:14" ht="28.8" x14ac:dyDescent="0.3">
      <c r="A19" s="8" t="s">
        <v>160</v>
      </c>
      <c r="B19" s="1" t="s">
        <v>243</v>
      </c>
      <c r="C19" s="1" t="s">
        <v>19</v>
      </c>
      <c r="D19" s="1" t="s">
        <v>219</v>
      </c>
      <c r="E19" s="1" t="s">
        <v>279</v>
      </c>
      <c r="G19" s="1" t="s">
        <v>249</v>
      </c>
      <c r="I19" s="1">
        <f>35+412+121</f>
        <v>568</v>
      </c>
      <c r="J19" s="2">
        <f t="shared" si="8"/>
        <v>4.4588000000000001</v>
      </c>
      <c r="K19" s="2">
        <f t="shared" si="9"/>
        <v>13.3764</v>
      </c>
      <c r="L19" s="1">
        <v>2.5</v>
      </c>
      <c r="M19" s="1">
        <v>18.09</v>
      </c>
      <c r="N19" s="3">
        <f t="shared" si="10"/>
        <v>12.32393587617468</v>
      </c>
    </row>
    <row r="20" spans="1:14" ht="28.8" x14ac:dyDescent="0.3">
      <c r="A20" s="8" t="s">
        <v>161</v>
      </c>
      <c r="B20" s="1" t="s">
        <v>110</v>
      </c>
      <c r="C20" s="1" t="s">
        <v>19</v>
      </c>
      <c r="D20" s="1" t="s">
        <v>219</v>
      </c>
      <c r="E20" s="1" t="s">
        <v>158</v>
      </c>
      <c r="G20" s="1" t="s">
        <v>118</v>
      </c>
      <c r="I20" s="1">
        <v>197</v>
      </c>
      <c r="J20" s="2">
        <f t="shared" si="8"/>
        <v>1.5464500000000001</v>
      </c>
      <c r="K20" s="2">
        <f t="shared" si="9"/>
        <v>4.6393500000000003</v>
      </c>
      <c r="L20" s="1">
        <v>3.95</v>
      </c>
      <c r="M20" s="1">
        <v>31.64</v>
      </c>
      <c r="N20" s="3">
        <f t="shared" si="10"/>
        <v>2.4438211125158027</v>
      </c>
    </row>
    <row r="21" spans="1:14" ht="28.8" x14ac:dyDescent="0.3">
      <c r="A21" s="8" t="s">
        <v>162</v>
      </c>
      <c r="B21" s="1" t="s">
        <v>244</v>
      </c>
      <c r="C21" s="1" t="s">
        <v>19</v>
      </c>
      <c r="D21" s="1" t="s">
        <v>219</v>
      </c>
      <c r="E21" s="1" t="s">
        <v>158</v>
      </c>
      <c r="G21" s="1" t="s">
        <v>118</v>
      </c>
      <c r="I21" s="1">
        <v>169</v>
      </c>
      <c r="J21" s="2">
        <f t="shared" si="8"/>
        <v>1.3266500000000001</v>
      </c>
      <c r="K21" s="2">
        <f t="shared" si="9"/>
        <v>3.9799500000000005</v>
      </c>
      <c r="L21" s="1">
        <v>4.07</v>
      </c>
      <c r="M21" s="1">
        <v>32.57</v>
      </c>
      <c r="N21" s="3">
        <f t="shared" si="10"/>
        <v>2.0366134479582438</v>
      </c>
    </row>
    <row r="22" spans="1:14" ht="28.8" x14ac:dyDescent="0.3">
      <c r="A22" s="8" t="s">
        <v>163</v>
      </c>
      <c r="B22" s="1" t="s">
        <v>245</v>
      </c>
      <c r="C22" s="1" t="s">
        <v>19</v>
      </c>
      <c r="D22" s="1" t="s">
        <v>236</v>
      </c>
      <c r="E22" s="1" t="s">
        <v>158</v>
      </c>
      <c r="G22" s="1" t="s">
        <v>118</v>
      </c>
      <c r="I22" s="1">
        <f>80+36+168+47+176</f>
        <v>507</v>
      </c>
      <c r="J22" s="2">
        <f t="shared" si="8"/>
        <v>3.9799500000000005</v>
      </c>
      <c r="K22" s="2">
        <f t="shared" si="9"/>
        <v>11.939850000000002</v>
      </c>
      <c r="L22" s="1">
        <v>3.03</v>
      </c>
      <c r="M22" s="1">
        <v>24.28</v>
      </c>
      <c r="N22" s="3">
        <f t="shared" si="10"/>
        <v>8.1959431630971995</v>
      </c>
    </row>
    <row r="23" spans="1:14" ht="28.8" x14ac:dyDescent="0.3">
      <c r="A23" s="8" t="s">
        <v>164</v>
      </c>
      <c r="B23" s="1" t="s">
        <v>251</v>
      </c>
      <c r="C23" s="1" t="s">
        <v>19</v>
      </c>
      <c r="D23" s="1" t="s">
        <v>245</v>
      </c>
      <c r="E23" s="1" t="s">
        <v>158</v>
      </c>
      <c r="G23" s="1" t="s">
        <v>118</v>
      </c>
      <c r="I23" s="1">
        <v>94</v>
      </c>
      <c r="J23" s="2">
        <f t="shared" si="8"/>
        <v>0.73790000000000022</v>
      </c>
      <c r="K23" s="2">
        <f t="shared" ref="K23" si="11">3*J23</f>
        <v>2.2137000000000007</v>
      </c>
      <c r="L23" s="1">
        <v>3.33</v>
      </c>
      <c r="M23" s="1">
        <v>26.66</v>
      </c>
      <c r="N23" s="3">
        <f t="shared" ref="N23" si="12">K23/(M23*60*0.001)</f>
        <v>1.3839084771192802</v>
      </c>
    </row>
    <row r="24" spans="1:14" ht="28.8" x14ac:dyDescent="0.3">
      <c r="A24" s="8" t="s">
        <v>250</v>
      </c>
      <c r="B24" s="1" t="s">
        <v>246</v>
      </c>
      <c r="C24" s="1" t="s">
        <v>19</v>
      </c>
      <c r="D24" s="1" t="s">
        <v>245</v>
      </c>
      <c r="E24" s="1" t="s">
        <v>158</v>
      </c>
      <c r="G24" s="1" t="s">
        <v>118</v>
      </c>
      <c r="I24" s="1">
        <v>825</v>
      </c>
      <c r="J24" s="2">
        <f t="shared" si="8"/>
        <v>6.4762500000000003</v>
      </c>
      <c r="K24" s="2">
        <f t="shared" si="9"/>
        <v>19.428750000000001</v>
      </c>
      <c r="L24" s="1">
        <v>2.37</v>
      </c>
      <c r="M24" s="1">
        <v>18.96</v>
      </c>
      <c r="N24" s="3">
        <f t="shared" si="10"/>
        <v>17.078718354430379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2"/>
  <sheetViews>
    <sheetView workbookViewId="0">
      <pane ySplit="1" topLeftCell="A17" activePane="bottomLeft" state="frozen"/>
      <selection pane="bottomLeft" activeCell="E34" sqref="E34"/>
    </sheetView>
  </sheetViews>
  <sheetFormatPr defaultRowHeight="14.4" x14ac:dyDescent="0.3"/>
  <cols>
    <col min="1" max="1" width="7.6640625" style="1" customWidth="1"/>
    <col min="2" max="2" width="17.88671875" style="1" customWidth="1"/>
    <col min="3" max="3" width="8.88671875" style="1"/>
    <col min="4" max="4" width="14.6640625" style="1" customWidth="1"/>
    <col min="5" max="5" width="56.5546875" style="1" customWidth="1"/>
    <col min="6" max="6" width="20.44140625" style="1" customWidth="1"/>
    <col min="7" max="7" width="22.21875" style="1" customWidth="1"/>
    <col min="8" max="8" width="26.88671875" style="1" customWidth="1"/>
    <col min="9" max="9" width="13.21875" style="1" customWidth="1"/>
    <col min="10" max="10" width="11.109375" style="1" customWidth="1"/>
    <col min="11" max="13" width="8.88671875" style="1"/>
    <col min="14" max="14" width="12.44140625" style="1" customWidth="1"/>
    <col min="15" max="15" width="11.6640625" style="1" customWidth="1"/>
    <col min="16" max="16" width="9.44140625" style="1" customWidth="1"/>
    <col min="17" max="16384" width="8.88671875" style="1"/>
  </cols>
  <sheetData>
    <row r="1" spans="1:15" ht="57.6" x14ac:dyDescent="0.3">
      <c r="A1" s="1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16</v>
      </c>
      <c r="J1" s="1" t="s">
        <v>9</v>
      </c>
      <c r="K1" s="1" t="s">
        <v>10</v>
      </c>
      <c r="L1" s="1" t="s">
        <v>24</v>
      </c>
      <c r="M1" s="1" t="s">
        <v>17</v>
      </c>
      <c r="N1" s="1" t="s">
        <v>18</v>
      </c>
      <c r="O1" s="1" t="s">
        <v>7</v>
      </c>
    </row>
    <row r="2" spans="1:15" ht="43.2" x14ac:dyDescent="0.3">
      <c r="A2" s="8" t="s">
        <v>290</v>
      </c>
      <c r="B2" s="1" t="s">
        <v>340</v>
      </c>
      <c r="C2" s="1" t="s">
        <v>26</v>
      </c>
      <c r="D2" s="1" t="s">
        <v>130</v>
      </c>
      <c r="E2" s="1" t="s">
        <v>296</v>
      </c>
      <c r="G2" s="1" t="s">
        <v>298</v>
      </c>
      <c r="H2" s="5"/>
      <c r="I2" s="1">
        <v>824</v>
      </c>
      <c r="J2" s="2">
        <f>I2*3.14*0.15*0.15/4</f>
        <v>14.553899999999999</v>
      </c>
      <c r="K2" s="2">
        <f t="shared" ref="K2" si="0">3*J2</f>
        <v>43.661699999999996</v>
      </c>
      <c r="L2" s="2">
        <v>0.9</v>
      </c>
      <c r="M2" s="1">
        <v>15.83</v>
      </c>
      <c r="N2" s="3">
        <f>K2/(M2*60*0.001)</f>
        <v>45.96936197094125</v>
      </c>
    </row>
    <row r="3" spans="1:15" ht="43.2" x14ac:dyDescent="0.3">
      <c r="A3" s="8" t="s">
        <v>291</v>
      </c>
      <c r="B3" s="1" t="s">
        <v>341</v>
      </c>
      <c r="C3" s="1" t="s">
        <v>26</v>
      </c>
      <c r="D3" s="1" t="s">
        <v>153</v>
      </c>
      <c r="E3" s="1" t="s">
        <v>297</v>
      </c>
      <c r="G3" s="1" t="s">
        <v>298</v>
      </c>
      <c r="H3" s="5"/>
      <c r="I3" s="1">
        <f>460+778+43</f>
        <v>1281</v>
      </c>
      <c r="J3" s="2">
        <f>I3*3.14*0.15*0.15/4</f>
        <v>22.625662500000001</v>
      </c>
      <c r="K3" s="2">
        <f t="shared" ref="K3" si="1">3*J3</f>
        <v>67.876987499999998</v>
      </c>
      <c r="L3" s="2">
        <v>2.21</v>
      </c>
      <c r="M3" s="1">
        <v>39.07</v>
      </c>
      <c r="N3" s="3">
        <f>K3/(M3*60*0.001)</f>
        <v>28.955288584591759</v>
      </c>
    </row>
    <row r="4" spans="1:15" ht="28.8" x14ac:dyDescent="0.3">
      <c r="A4" s="8" t="s">
        <v>11</v>
      </c>
      <c r="B4" s="1" t="s">
        <v>131</v>
      </c>
      <c r="C4" s="1" t="s">
        <v>26</v>
      </c>
      <c r="D4" s="1" t="s">
        <v>153</v>
      </c>
      <c r="E4" s="1" t="s">
        <v>152</v>
      </c>
      <c r="G4" s="1" t="s">
        <v>342</v>
      </c>
      <c r="I4" s="1">
        <v>1036</v>
      </c>
      <c r="J4" s="2">
        <f>I4*3.14*0.15*0.15/4</f>
        <v>18.298349999999999</v>
      </c>
      <c r="K4" s="2">
        <f t="shared" ref="K4:K5" si="2">3*J4</f>
        <v>54.895049999999998</v>
      </c>
      <c r="L4" s="1">
        <v>2.56</v>
      </c>
      <c r="M4" s="1">
        <v>45.23</v>
      </c>
      <c r="N4" s="3">
        <f t="shared" ref="N4:N22" si="3">K4/(M4*60*0.001)</f>
        <v>20.228111872650896</v>
      </c>
    </row>
    <row r="5" spans="1:15" ht="28.8" x14ac:dyDescent="0.3">
      <c r="A5" s="8">
        <v>3</v>
      </c>
      <c r="B5" s="1" t="s">
        <v>133</v>
      </c>
      <c r="C5" s="1" t="s">
        <v>19</v>
      </c>
      <c r="D5" s="1" t="s">
        <v>343</v>
      </c>
      <c r="E5" s="1" t="s">
        <v>156</v>
      </c>
      <c r="G5" s="1" t="s">
        <v>138</v>
      </c>
      <c r="I5" s="1">
        <v>228</v>
      </c>
      <c r="J5" s="2">
        <f>I5*3.14*0.1*0.1/4</f>
        <v>1.7898000000000005</v>
      </c>
      <c r="K5" s="2">
        <f t="shared" si="2"/>
        <v>5.3694000000000015</v>
      </c>
      <c r="L5" s="1">
        <v>3.93</v>
      </c>
      <c r="M5" s="1">
        <v>31.47</v>
      </c>
      <c r="N5" s="3">
        <f t="shared" si="3"/>
        <v>2.8436606291706399</v>
      </c>
    </row>
    <row r="6" spans="1:15" ht="28.8" x14ac:dyDescent="0.3">
      <c r="A6" s="8">
        <v>4</v>
      </c>
      <c r="B6" s="1" t="s">
        <v>134</v>
      </c>
      <c r="C6" s="1" t="s">
        <v>19</v>
      </c>
      <c r="D6" s="1" t="s">
        <v>343</v>
      </c>
      <c r="E6" s="1" t="s">
        <v>157</v>
      </c>
      <c r="G6" s="1" t="s">
        <v>137</v>
      </c>
      <c r="I6" s="1">
        <v>255</v>
      </c>
      <c r="J6" s="2">
        <f t="shared" ref="J6:J22" si="4">I6*3.14*0.1*0.1/4</f>
        <v>2.0017500000000004</v>
      </c>
      <c r="K6" s="2">
        <f t="shared" ref="K6:K22" si="5">3*J6</f>
        <v>6.0052500000000011</v>
      </c>
      <c r="L6" s="1">
        <v>3.63</v>
      </c>
      <c r="M6" s="1">
        <v>29.11</v>
      </c>
      <c r="N6" s="3">
        <f t="shared" si="3"/>
        <v>3.4382514599793894</v>
      </c>
    </row>
    <row r="7" spans="1:15" ht="28.8" x14ac:dyDescent="0.3">
      <c r="A7" s="8">
        <v>5</v>
      </c>
      <c r="B7" s="1" t="s">
        <v>132</v>
      </c>
      <c r="C7" s="1" t="s">
        <v>19</v>
      </c>
      <c r="D7" s="1" t="s">
        <v>154</v>
      </c>
      <c r="E7" s="1" t="s">
        <v>158</v>
      </c>
      <c r="G7" s="1" t="s">
        <v>136</v>
      </c>
      <c r="I7" s="1">
        <v>91</v>
      </c>
      <c r="J7" s="2">
        <f t="shared" si="4"/>
        <v>0.71435000000000004</v>
      </c>
      <c r="K7" s="2">
        <f t="shared" si="5"/>
        <v>2.1430500000000001</v>
      </c>
      <c r="L7" s="1">
        <v>5.07</v>
      </c>
      <c r="M7" s="1">
        <v>40.65</v>
      </c>
      <c r="N7" s="3">
        <f t="shared" si="3"/>
        <v>0.87865928659286596</v>
      </c>
    </row>
    <row r="8" spans="1:15" ht="28.8" x14ac:dyDescent="0.3">
      <c r="A8" s="8">
        <v>6</v>
      </c>
      <c r="B8" s="1" t="s">
        <v>84</v>
      </c>
      <c r="C8" s="1" t="s">
        <v>19</v>
      </c>
      <c r="D8" s="1" t="s">
        <v>343</v>
      </c>
      <c r="E8" s="1" t="s">
        <v>344</v>
      </c>
      <c r="G8" s="1" t="s">
        <v>135</v>
      </c>
      <c r="I8" s="1">
        <v>306</v>
      </c>
      <c r="J8" s="2">
        <f t="shared" si="4"/>
        <v>2.4021000000000003</v>
      </c>
      <c r="K8" s="2">
        <f t="shared" si="5"/>
        <v>7.2063000000000006</v>
      </c>
      <c r="L8" s="1">
        <v>4.0199999999999996</v>
      </c>
      <c r="M8" s="1">
        <v>32.19</v>
      </c>
      <c r="N8" s="3">
        <f t="shared" si="3"/>
        <v>3.7311276794035417</v>
      </c>
    </row>
    <row r="9" spans="1:15" ht="28.8" x14ac:dyDescent="0.3">
      <c r="A9" s="8">
        <v>7</v>
      </c>
      <c r="B9" s="1" t="s">
        <v>139</v>
      </c>
      <c r="C9" s="1" t="s">
        <v>19</v>
      </c>
      <c r="D9" s="1" t="s">
        <v>343</v>
      </c>
      <c r="E9" s="1" t="s">
        <v>183</v>
      </c>
      <c r="G9" s="1" t="s">
        <v>179</v>
      </c>
      <c r="I9" s="1">
        <v>941</v>
      </c>
      <c r="J9" s="2">
        <f t="shared" si="4"/>
        <v>7.3868500000000017</v>
      </c>
      <c r="K9" s="2">
        <f t="shared" si="5"/>
        <v>22.160550000000004</v>
      </c>
      <c r="L9" s="1">
        <v>2.14</v>
      </c>
      <c r="M9" s="1">
        <v>17.18</v>
      </c>
      <c r="N9" s="3">
        <f t="shared" si="3"/>
        <v>21.498399301513395</v>
      </c>
    </row>
    <row r="10" spans="1:15" ht="28.8" x14ac:dyDescent="0.3">
      <c r="A10" s="8">
        <v>8</v>
      </c>
      <c r="B10" s="1" t="s">
        <v>148</v>
      </c>
      <c r="C10" s="1" t="s">
        <v>19</v>
      </c>
      <c r="D10" s="1" t="s">
        <v>343</v>
      </c>
      <c r="E10" s="1" t="s">
        <v>345</v>
      </c>
      <c r="G10" s="1" t="s">
        <v>118</v>
      </c>
      <c r="I10" s="1">
        <v>594</v>
      </c>
      <c r="J10" s="2">
        <f t="shared" si="4"/>
        <v>4.6629000000000005</v>
      </c>
      <c r="K10" s="2">
        <f t="shared" si="5"/>
        <v>13.988700000000001</v>
      </c>
      <c r="L10" s="1">
        <v>2.9</v>
      </c>
      <c r="M10" s="1">
        <v>23.29</v>
      </c>
      <c r="N10" s="3">
        <f t="shared" si="3"/>
        <v>10.010519536281667</v>
      </c>
    </row>
    <row r="11" spans="1:15" ht="28.8" x14ac:dyDescent="0.3">
      <c r="A11" s="8" t="s">
        <v>15</v>
      </c>
      <c r="B11" s="1" t="s">
        <v>141</v>
      </c>
      <c r="C11" s="1" t="s">
        <v>19</v>
      </c>
      <c r="D11" s="1" t="s">
        <v>142</v>
      </c>
      <c r="E11" s="1" t="s">
        <v>345</v>
      </c>
      <c r="G11" s="1" t="s">
        <v>118</v>
      </c>
      <c r="I11" s="1">
        <v>110</v>
      </c>
      <c r="J11" s="2">
        <f t="shared" si="4"/>
        <v>0.86350000000000016</v>
      </c>
      <c r="K11" s="2">
        <f t="shared" si="5"/>
        <v>2.5905000000000005</v>
      </c>
      <c r="L11" s="1">
        <v>3.13</v>
      </c>
      <c r="M11" s="1">
        <v>25.08</v>
      </c>
      <c r="N11" s="3">
        <f t="shared" si="3"/>
        <v>1.7214912280701757</v>
      </c>
    </row>
    <row r="12" spans="1:15" ht="28.8" x14ac:dyDescent="0.3">
      <c r="A12" s="8" t="s">
        <v>97</v>
      </c>
      <c r="B12" s="1" t="s">
        <v>143</v>
      </c>
      <c r="C12" s="1" t="s">
        <v>19</v>
      </c>
      <c r="D12" s="1" t="s">
        <v>142</v>
      </c>
      <c r="E12" s="1" t="s">
        <v>346</v>
      </c>
      <c r="G12" s="1" t="s">
        <v>155</v>
      </c>
      <c r="I12" s="1">
        <v>1104</v>
      </c>
      <c r="J12" s="2">
        <f t="shared" si="4"/>
        <v>8.6664000000000012</v>
      </c>
      <c r="K12" s="2">
        <f t="shared" si="5"/>
        <v>25.999200000000002</v>
      </c>
      <c r="L12" s="1">
        <v>1.8</v>
      </c>
      <c r="M12" s="1">
        <v>14.4</v>
      </c>
      <c r="N12" s="3">
        <f t="shared" si="3"/>
        <v>30.091666666666669</v>
      </c>
    </row>
    <row r="13" spans="1:15" ht="28.8" x14ac:dyDescent="0.3">
      <c r="A13" s="8" t="s">
        <v>99</v>
      </c>
      <c r="B13" s="1" t="s">
        <v>144</v>
      </c>
      <c r="C13" s="1" t="s">
        <v>19</v>
      </c>
      <c r="D13" s="1" t="s">
        <v>98</v>
      </c>
      <c r="E13" s="1" t="s">
        <v>165</v>
      </c>
      <c r="G13" s="1" t="s">
        <v>118</v>
      </c>
      <c r="I13" s="1">
        <v>292</v>
      </c>
      <c r="J13" s="2">
        <f t="shared" si="4"/>
        <v>2.2922000000000002</v>
      </c>
      <c r="K13" s="2">
        <f t="shared" si="5"/>
        <v>6.8766000000000007</v>
      </c>
      <c r="L13" s="1">
        <v>1.46</v>
      </c>
      <c r="M13" s="1">
        <v>11.7</v>
      </c>
      <c r="N13" s="3">
        <f t="shared" si="3"/>
        <v>9.7957264957264965</v>
      </c>
    </row>
    <row r="14" spans="1:15" ht="28.8" x14ac:dyDescent="0.3">
      <c r="A14" s="8" t="s">
        <v>101</v>
      </c>
      <c r="B14" s="1" t="s">
        <v>145</v>
      </c>
      <c r="C14" s="1" t="s">
        <v>19</v>
      </c>
      <c r="D14" s="1" t="s">
        <v>142</v>
      </c>
      <c r="E14" s="1" t="s">
        <v>166</v>
      </c>
      <c r="G14" s="1" t="s">
        <v>118</v>
      </c>
      <c r="I14" s="1">
        <v>438</v>
      </c>
      <c r="J14" s="2">
        <f t="shared" si="4"/>
        <v>3.4383000000000004</v>
      </c>
      <c r="K14" s="2">
        <f t="shared" si="5"/>
        <v>10.314900000000002</v>
      </c>
      <c r="L14" s="1">
        <v>1.43</v>
      </c>
      <c r="M14" s="1">
        <v>11.42</v>
      </c>
      <c r="N14" s="3">
        <f t="shared" si="3"/>
        <v>15.053852889667253</v>
      </c>
    </row>
    <row r="15" spans="1:15" ht="28.8" x14ac:dyDescent="0.3">
      <c r="A15" s="8" t="s">
        <v>102</v>
      </c>
      <c r="B15" s="1" t="s">
        <v>150</v>
      </c>
      <c r="C15" s="1" t="s">
        <v>19</v>
      </c>
      <c r="D15" s="1" t="s">
        <v>168</v>
      </c>
      <c r="E15" s="1" t="s">
        <v>347</v>
      </c>
      <c r="G15" s="1" t="s">
        <v>167</v>
      </c>
      <c r="I15" s="1">
        <v>1103</v>
      </c>
      <c r="J15" s="2">
        <f t="shared" si="4"/>
        <v>8.6585500000000017</v>
      </c>
      <c r="K15" s="2">
        <f t="shared" si="5"/>
        <v>25.975650000000005</v>
      </c>
      <c r="L15" s="1">
        <v>1.53</v>
      </c>
      <c r="M15" s="1">
        <v>11.98</v>
      </c>
      <c r="N15" s="3">
        <f t="shared" si="3"/>
        <v>36.137520868113526</v>
      </c>
    </row>
    <row r="16" spans="1:15" ht="43.2" x14ac:dyDescent="0.3">
      <c r="A16" s="8" t="s">
        <v>103</v>
      </c>
      <c r="B16" s="1" t="s">
        <v>146</v>
      </c>
      <c r="C16" s="1" t="s">
        <v>19</v>
      </c>
      <c r="D16" s="1" t="s">
        <v>169</v>
      </c>
      <c r="E16" s="1" t="s">
        <v>171</v>
      </c>
      <c r="G16" s="1" t="s">
        <v>170</v>
      </c>
      <c r="I16" s="1">
        <f>278+91</f>
        <v>369</v>
      </c>
      <c r="J16" s="2">
        <f t="shared" si="4"/>
        <v>2.8966500000000006</v>
      </c>
      <c r="K16" s="2">
        <f t="shared" si="5"/>
        <v>8.6899500000000014</v>
      </c>
      <c r="L16" s="1">
        <v>1.01</v>
      </c>
      <c r="M16" s="1">
        <v>12.89</v>
      </c>
      <c r="N16" s="3">
        <f t="shared" si="3"/>
        <v>11.236035686578743</v>
      </c>
    </row>
    <row r="17" spans="1:14" ht="28.8" x14ac:dyDescent="0.3">
      <c r="A17" s="8" t="s">
        <v>104</v>
      </c>
      <c r="B17" s="1" t="s">
        <v>147</v>
      </c>
      <c r="C17" s="1" t="s">
        <v>19</v>
      </c>
      <c r="D17" s="1" t="s">
        <v>172</v>
      </c>
      <c r="E17" s="1" t="s">
        <v>173</v>
      </c>
      <c r="G17" s="1" t="s">
        <v>167</v>
      </c>
      <c r="I17" s="1">
        <v>984</v>
      </c>
      <c r="J17" s="2">
        <f t="shared" si="4"/>
        <v>7.7244000000000019</v>
      </c>
      <c r="K17" s="2">
        <f t="shared" si="5"/>
        <v>23.173200000000005</v>
      </c>
      <c r="L17" s="1">
        <v>1.77</v>
      </c>
      <c r="M17" s="1">
        <v>13.87</v>
      </c>
      <c r="N17" s="3">
        <f t="shared" si="3"/>
        <v>27.84571016582553</v>
      </c>
    </row>
    <row r="18" spans="1:14" ht="28.8" x14ac:dyDescent="0.3">
      <c r="A18" s="8" t="s">
        <v>160</v>
      </c>
      <c r="B18" s="1" t="s">
        <v>348</v>
      </c>
      <c r="C18" s="1" t="s">
        <v>19</v>
      </c>
      <c r="D18" s="1" t="s">
        <v>174</v>
      </c>
      <c r="G18" s="1" t="s">
        <v>175</v>
      </c>
      <c r="I18" s="1">
        <v>1175</v>
      </c>
      <c r="J18" s="2">
        <f t="shared" si="4"/>
        <v>9.2237500000000008</v>
      </c>
      <c r="K18" s="2">
        <f t="shared" si="5"/>
        <v>27.671250000000001</v>
      </c>
      <c r="L18" s="1">
        <v>1.54</v>
      </c>
      <c r="M18" s="1">
        <v>12.06</v>
      </c>
      <c r="N18" s="3">
        <f t="shared" si="3"/>
        <v>38.24108623548922</v>
      </c>
    </row>
    <row r="19" spans="1:14" ht="28.8" x14ac:dyDescent="0.3">
      <c r="A19" s="8" t="s">
        <v>161</v>
      </c>
      <c r="B19" s="1" t="s">
        <v>140</v>
      </c>
      <c r="C19" s="1" t="s">
        <v>19</v>
      </c>
      <c r="D19" s="1" t="s">
        <v>172</v>
      </c>
      <c r="E19" s="1" t="s">
        <v>176</v>
      </c>
      <c r="G19" s="1" t="s">
        <v>342</v>
      </c>
      <c r="I19" s="1">
        <v>955</v>
      </c>
      <c r="J19" s="2">
        <f t="shared" si="4"/>
        <v>7.4967500000000022</v>
      </c>
      <c r="K19" s="2">
        <f t="shared" si="5"/>
        <v>22.490250000000007</v>
      </c>
      <c r="L19" s="1">
        <v>1.46</v>
      </c>
      <c r="M19" s="1">
        <v>11.73</v>
      </c>
      <c r="N19" s="3">
        <f t="shared" si="3"/>
        <v>31.955456095481676</v>
      </c>
    </row>
    <row r="20" spans="1:14" ht="28.8" x14ac:dyDescent="0.3">
      <c r="A20" s="8" t="s">
        <v>162</v>
      </c>
      <c r="B20" s="1" t="s">
        <v>177</v>
      </c>
      <c r="C20" s="1" t="s">
        <v>19</v>
      </c>
      <c r="D20" s="1" t="s">
        <v>98</v>
      </c>
      <c r="E20" s="1" t="s">
        <v>178</v>
      </c>
      <c r="G20" s="1" t="s">
        <v>179</v>
      </c>
      <c r="I20" s="1">
        <v>1157</v>
      </c>
      <c r="J20" s="2">
        <f t="shared" si="4"/>
        <v>9.0824499999999997</v>
      </c>
      <c r="K20" s="2">
        <f t="shared" si="5"/>
        <v>27.247349999999997</v>
      </c>
      <c r="L20" s="1">
        <v>1.0900000000000001</v>
      </c>
      <c r="M20" s="1">
        <v>8.7200000000000006</v>
      </c>
      <c r="N20" s="3">
        <f>K20/(M20*60*0.001)</f>
        <v>52.078268348623837</v>
      </c>
    </row>
    <row r="21" spans="1:14" ht="28.8" x14ac:dyDescent="0.3">
      <c r="A21" s="8" t="s">
        <v>163</v>
      </c>
      <c r="B21" s="1" t="s">
        <v>149</v>
      </c>
      <c r="C21" s="1" t="s">
        <v>19</v>
      </c>
      <c r="D21" s="1" t="s">
        <v>173</v>
      </c>
      <c r="E21" s="1" t="s">
        <v>180</v>
      </c>
      <c r="G21" s="1" t="s">
        <v>179</v>
      </c>
      <c r="I21" s="1">
        <v>1142</v>
      </c>
      <c r="J21" s="2">
        <f t="shared" si="4"/>
        <v>8.9647000000000006</v>
      </c>
      <c r="K21" s="2">
        <f t="shared" si="5"/>
        <v>26.894100000000002</v>
      </c>
      <c r="L21" s="1">
        <v>1.3</v>
      </c>
      <c r="M21" s="1">
        <v>9.3800000000000008</v>
      </c>
      <c r="N21" s="3">
        <f t="shared" si="3"/>
        <v>47.78624733475479</v>
      </c>
    </row>
    <row r="22" spans="1:14" ht="28.8" x14ac:dyDescent="0.3">
      <c r="A22" s="8" t="s">
        <v>164</v>
      </c>
      <c r="B22" s="1" t="s">
        <v>151</v>
      </c>
      <c r="C22" s="1" t="s">
        <v>19</v>
      </c>
      <c r="D22" s="1" t="s">
        <v>98</v>
      </c>
      <c r="E22" s="1" t="s">
        <v>181</v>
      </c>
      <c r="G22" s="1" t="s">
        <v>182</v>
      </c>
      <c r="I22" s="1">
        <v>1132</v>
      </c>
      <c r="J22" s="2">
        <f t="shared" si="4"/>
        <v>8.8862000000000005</v>
      </c>
      <c r="K22" s="2">
        <f t="shared" si="5"/>
        <v>26.6586</v>
      </c>
      <c r="L22" s="1">
        <v>1.4</v>
      </c>
      <c r="M22" s="1">
        <v>11.2</v>
      </c>
      <c r="N22" s="3">
        <f t="shared" si="3"/>
        <v>39.670535714285712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G23" sqref="G23"/>
    </sheetView>
  </sheetViews>
  <sheetFormatPr defaultRowHeight="14.4" x14ac:dyDescent="0.3"/>
  <cols>
    <col min="1" max="1" width="15" customWidth="1"/>
    <col min="2" max="2" width="14" customWidth="1"/>
    <col min="3" max="3" width="33.77734375" customWidth="1"/>
    <col min="8" max="8" width="6.21875" customWidth="1"/>
  </cols>
  <sheetData>
    <row r="1" spans="1:8" x14ac:dyDescent="0.3">
      <c r="A1" t="s">
        <v>28</v>
      </c>
      <c r="B1" t="s">
        <v>29</v>
      </c>
      <c r="C1" t="s">
        <v>35</v>
      </c>
      <c r="D1" t="s">
        <v>33</v>
      </c>
      <c r="E1" t="s">
        <v>37</v>
      </c>
      <c r="F1" t="s">
        <v>30</v>
      </c>
      <c r="G1" t="s">
        <v>31</v>
      </c>
      <c r="H1" t="s">
        <v>32</v>
      </c>
    </row>
    <row r="2" spans="1:8" x14ac:dyDescent="0.3">
      <c r="A2">
        <v>1</v>
      </c>
      <c r="B2" t="s">
        <v>34</v>
      </c>
      <c r="C2" t="s">
        <v>36</v>
      </c>
      <c r="D2">
        <v>3</v>
      </c>
      <c r="E2">
        <v>15</v>
      </c>
      <c r="F2" s="4">
        <v>78</v>
      </c>
      <c r="G2">
        <v>65</v>
      </c>
      <c r="H2" s="4">
        <f t="shared" ref="H2:H5" si="0">G2*1000/60/60</f>
        <v>18.055555555555554</v>
      </c>
    </row>
    <row r="3" spans="1:8" x14ac:dyDescent="0.3">
      <c r="A3">
        <v>2</v>
      </c>
      <c r="B3" t="s">
        <v>34</v>
      </c>
      <c r="C3" t="s">
        <v>38</v>
      </c>
      <c r="D3">
        <v>2</v>
      </c>
      <c r="F3" s="4">
        <v>78.3</v>
      </c>
      <c r="G3">
        <v>54.4</v>
      </c>
      <c r="H3" s="4">
        <f t="shared" si="0"/>
        <v>15.111111111111111</v>
      </c>
    </row>
    <row r="4" spans="1:8" x14ac:dyDescent="0.3">
      <c r="A4">
        <v>3</v>
      </c>
      <c r="B4" t="s">
        <v>39</v>
      </c>
      <c r="C4" t="s">
        <v>40</v>
      </c>
      <c r="D4">
        <v>1</v>
      </c>
      <c r="F4" s="4">
        <v>41</v>
      </c>
      <c r="G4">
        <f>2*9.3</f>
        <v>18.600000000000001</v>
      </c>
      <c r="H4" s="4">
        <f t="shared" si="0"/>
        <v>5.166666666666667</v>
      </c>
    </row>
    <row r="5" spans="1:8" x14ac:dyDescent="0.3">
      <c r="A5">
        <v>4</v>
      </c>
      <c r="B5" t="s">
        <v>41</v>
      </c>
      <c r="C5" t="s">
        <v>44</v>
      </c>
      <c r="D5">
        <v>1</v>
      </c>
      <c r="F5" s="4">
        <v>84</v>
      </c>
      <c r="G5">
        <v>30</v>
      </c>
      <c r="H5" s="4">
        <f t="shared" si="0"/>
        <v>8.3333333333333339</v>
      </c>
    </row>
    <row r="6" spans="1:8" x14ac:dyDescent="0.3">
      <c r="A6">
        <v>5</v>
      </c>
      <c r="B6" t="s">
        <v>42</v>
      </c>
      <c r="C6" t="s">
        <v>43</v>
      </c>
      <c r="D6">
        <v>1</v>
      </c>
      <c r="F6" s="4">
        <v>53.6</v>
      </c>
      <c r="G6">
        <v>24.6</v>
      </c>
      <c r="H6" s="4">
        <f>G6*1000/60/60</f>
        <v>6.833333333333333</v>
      </c>
    </row>
    <row r="7" spans="1:8" x14ac:dyDescent="0.3">
      <c r="B7" t="s">
        <v>667</v>
      </c>
      <c r="D7">
        <v>2</v>
      </c>
      <c r="F7" s="4">
        <v>38</v>
      </c>
      <c r="G7">
        <v>15.6</v>
      </c>
      <c r="H7" s="4">
        <f>G7*1000/60/60</f>
        <v>4.333333333333333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Baktakék</vt:lpstr>
      <vt:lpstr>Abaújdevecser</vt:lpstr>
      <vt:lpstr>Encs</vt:lpstr>
      <vt:lpstr>Fancsal</vt:lpstr>
      <vt:lpstr>Forró</vt:lpstr>
      <vt:lpstr>Gibárt</vt:lpstr>
      <vt:lpstr>Méra</vt:lpstr>
      <vt:lpstr>Szalaszend</vt:lpstr>
      <vt:lpstr>Nyomásfokozó számítások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2017-03-24T10:02:56Z</dcterms:modified>
</cp:coreProperties>
</file>